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9e9ff0e0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мментарии" sheetId="1" r:id="Rb1c4a7ecc5c7465b"/>
    <x:sheet xmlns:r="http://schemas.openxmlformats.org/officeDocument/2006/relationships" name="Допущения" sheetId="2" r:id="R156ecd50eb3042c5"/>
    <x:sheet xmlns:r="http://schemas.openxmlformats.org/officeDocument/2006/relationships" name="Модель" sheetId="3" r:id="Rfbfa5dee82b34217"/>
    <x:sheet xmlns:r="http://schemas.openxmlformats.org/officeDocument/2006/relationships" name="Безубыток" sheetId="4" r:id="Rf815d37efecf4f32"/>
    <x:sheet xmlns:r="http://schemas.openxmlformats.org/officeDocument/2006/relationships" name="Год" sheetId="5" r:id="Read231461ac942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(#,##0);&quot;—&quot;"/>
    <x:numFmt numFmtId="201" formatCode="0.0%"/>
    <x:numFmt numFmtId="202" formatCode="0.0"/>
    <x:numFmt numFmtId="203" formatCode="0%"/>
  </x:numFmts>
  <x:fonts count="10">
    <x:font>
      <x:sz val="11"/>
      <x:name val="Carlito"/>
    </x:font>
    <x:font>
      <x:sz val="11"/>
      <x:name val="Arial"/>
    </x:font>
    <x:font>
      <x:sz val="16"/>
      <x:name val="Arial"/>
    </x:font>
    <x:font>
      <x:b/>
      <x:sz val="16"/>
      <x:name val="Arial"/>
    </x:font>
    <x:font>
      <x:sz val="11"/>
      <x:color rgb="FFFFFFFF"/>
      <x:name val="Arial"/>
    </x:font>
    <x:font>
      <x:sz val="11"/>
      <x:color rgb="FF0000FF"/>
      <x:name val="Arial"/>
    </x:font>
    <x:font>
      <x:b/>
      <x:sz val="11"/>
      <x:name val="Arial"/>
    </x:font>
    <x:font>
      <x:sz val="11"/>
      <x:color rgb="FF008000"/>
      <x:name val="Arial"/>
    </x:font>
    <x:font>
      <x:b/>
      <x:sz val="11"/>
      <x:color rgb="FF008000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442"/>
      </x:patternFill>
    </x:fill>
    <x:fill>
      <x:patternFill patternType="solid">
        <x:fgColor rgb="FFFFF2CC"/>
      </x:patternFill>
    </x:fill>
    <x:fill>
      <x:patternFill patternType="solid">
        <x:fgColor rgb="FFE9EEF2"/>
      </x:patternFill>
    </x:fill>
  </x:fills>
  <x:borders count="1">
    <x:border/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0" fontId="9" fillId="0" borderId="0" xfId="0" applyNumberFormat="1" applyFont="1" applyFill="1" applyBorder="1" applyAlignment="1">
      <x:alignment vertical="center" wrapText="1"/>
    </x:xf>
    <x:xf numFmtId="202" fontId="9" fillId="0" borderId="0" xfId="0" applyNumberFormat="1" applyFont="1" applyFill="1" applyBorder="1" applyAlignment="1">
      <x:alignment vertical="center" wrapText="1"/>
    </x:xf>
    <x:xf numFmtId="201" fontId="9" fillId="0" borderId="0" xfId="0" applyNumberFormat="1" applyFont="1" applyFill="1" applyBorder="1" applyAlignment="1">
      <x:alignment vertical="center" wrapText="1"/>
    </x:xf>
    <x:xf numFmtId="203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6d805bd01407c" /><Relationship Type="http://schemas.openxmlformats.org/officeDocument/2006/relationships/theme" Target="/xl/theme/theme1.xml" Id="R13053e4616a04a87" /><Relationship Type="http://schemas.openxmlformats.org/officeDocument/2006/relationships/sharedStrings" Target="/xl/sharedStrings.xml" Id="R2169d797fc5447c9" /><Relationship Type="http://schemas.openxmlformats.org/officeDocument/2006/relationships/worksheet" Target="/xl/worksheets/sheet1.xml" Id="Rb1c4a7ecc5c7465b" /><Relationship Type="http://schemas.openxmlformats.org/officeDocument/2006/relationships/worksheet" Target="/xl/worksheets/sheet2.xml" Id="R156ecd50eb3042c5" /><Relationship Type="http://schemas.openxmlformats.org/officeDocument/2006/relationships/worksheet" Target="/xl/worksheets/sheet3.xml" Id="Rfbfa5dee82b34217" /><Relationship Type="http://schemas.openxmlformats.org/officeDocument/2006/relationships/worksheet" Target="/xl/worksheets/sheet4.xml" Id="Rf815d37efecf4f32" /><Relationship Type="http://schemas.openxmlformats.org/officeDocument/2006/relationships/worksheet" Target="/xl/worksheets/sheet5.xml" Id="Read231461ac942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2" hidden="0" customWidth="1"/>
    <x:col min="2" max="2" width="19" hidden="0" customWidth="1"/>
    <x:col min="3" max="3" width="19" hidden="0" customWidth="1"/>
    <x:col min="4" max="4" width="68" hidden="0" customWidth="1"/>
  </x:cols>
  <x:sheetData>
    <x:row r="1" ht="28" customHeight="1">
      <x:c r="A1" s="5" t="str">
        <x:v>ПВЗ — Комментарии</x:v>
      </x:c>
      <x:c r="B1" s="2"/>
      <x:c r="C1" s="2"/>
      <x:c r="D1" s="2"/>
    </x:row>
    <x:row r="2" ht="28" customHeight="1">
      <x:c r="A2" s="2"/>
      <x:c r="B2" s="2"/>
      <x:c r="C2" s="2"/>
      <x:c r="D2" s="2"/>
    </x:row>
    <x:row r="3" ht="28" customHeight="1">
      <x:c r="A3" s="2"/>
      <x:c r="B3" s="2"/>
      <x:c r="C3" s="2"/>
      <x:c r="D3" s="2"/>
    </x:row>
    <x:row r="4" ht="28" customHeight="1">
      <x:c r="A4" s="3" t="str">
        <x:v>Как пользоваться моделью ПВЗ</x:v>
      </x:c>
      <x:c r="B4" s="3"/>
      <x:c r="C4" s="3"/>
      <x:c r="D4" s="3"/>
    </x:row>
    <x:row r="5" ht="28" customHeight="1">
      <x:c r="A5" s="3" t="str">
        <x:v>1. На листе «Допущения» меняйте жёлтые ячейки с синими цифрами.</x:v>
      </x:c>
      <x:c r="B5" s="3"/>
      <x:c r="C5" s="3"/>
      <x:c r="D5" s="3"/>
    </x:row>
    <x:row r="6" ht="28" customHeight="1">
      <x:c r="A6" s="3" t="str">
        <x:v>2. «Модель» показывает нормальный месяц, «Безубыток» — необходимый поток.</x:v>
      </x:c>
      <x:c r="B6" s="3"/>
      <x:c r="C6" s="3"/>
      <x:c r="D6" s="3"/>
    </x:row>
    <x:row r="7" ht="28" customHeight="1">
      <x:c r="A7" s="3" t="str">
        <x:v>3. «Год» учитывает помесячный выход на поток и предоплаченную аренду.</x:v>
      </x:c>
      <x:c r="B7" s="3"/>
      <x:c r="C7" s="3"/>
      <x:c r="D7" s="3"/>
    </x:row>
    <x:row r="8" ht="28" customHeight="1">
      <x:c r="A8" s="3" t="str">
        <x:v>4. Для стресса поставьте поток 105 вместо 150 или ставку 4,5% вместо 5,5%.</x:v>
      </x:c>
      <x:c r="B8" s="3"/>
      <x:c r="C8" s="3"/>
      <x:c r="D8" s="3"/>
    </x:row>
    <x:row r="9" ht="28" customHeight="1">
      <x:c r="A9" s="3" t="str">
        <x:v>5. Для улучшения выкупа поставьте 75% вместо 65%. Все расчёты связаны формулами.</x:v>
      </x:c>
      <x:c r="B9" s="3"/>
      <x:c r="C9" s="3"/>
      <x:c r="D9" s="3"/>
    </x:row>
    <x:row r="10" ht="28" customHeight="1">
      <x:c r="A10" s="3" t="str">
        <x:v>Единица потока — одна товарная позиция; не смешивайте её с заказом из нескольких товаров.</x:v>
      </x:c>
      <x:c r="B10" s="3"/>
      <x:c r="C10" s="3"/>
      <x:c r="D10" s="3"/>
    </x:row>
    <x:row r="11" ht="28" customHeight="1">
      <x:c r="A11" s="3" t="str">
        <x:v>Учебная модель сценария. 10% — условный налог с положительного операционного результата.</x:v>
      </x:c>
      <x:c r="B11" s="3"/>
      <x:c r="C11" s="3"/>
      <x:c r="D11" s="3"/>
    </x:row>
    <x:row r="12" ht="28" customHeight="1">
      <x:c r="A12" s="3" t="str">
        <x:v>Это не налоговая декларация: нет НДС, амортизации, кредита, переноса убытков и задержек выплат.</x:v>
      </x:c>
      <x:c r="B12" s="3"/>
      <x:c r="C12" s="3"/>
      <x:c r="D12" s="3"/>
    </x:row>
    <x:row r="13" ht="28" customHeight="1">
      <x:c r="A13" s="3" t="str">
        <x:v>Налоговые и социальные платежи владельца, бухгалтерию и потери внесите в дополнительные расходы.</x:v>
      </x:c>
      <x:c r="B13" s="3"/>
      <x:c r="C13" s="3"/>
      <x:c r="D13" s="3"/>
    </x:row>
    <x:row r="14" ht="28" customHeight="1">
      <x:c r="A14" s="3" t="str">
        <x:v>340 тыс. ₸ на оператора — бюджет из сценария, а не расчёт зарплатных налогов 2026 года.</x:v>
      </x:c>
      <x:c r="B14" s="3"/>
      <x:c r="C14" s="3"/>
      <x:c r="D14" s="3"/>
    </x:row>
    <x:row r="15" ht="28" customHeight="1">
      <x:c r="A15" s="3" t="str">
        <x:v>Депозит 360 тыс. и предоплата 720 тыс. выделены из 1,08 млн: это допущение структуры сметы.</x:v>
      </x:c>
      <x:c r="B15" s="3"/>
      <x:c r="C15" s="3"/>
      <x:c r="D15" s="3"/>
    </x:row>
    <x:row r="16" ht="28" customHeight="1">
      <x:c r="A16" s="3" t="str">
        <x:v>Резерв 1,7 млн не списывается повторно в расходы; он формирует начальный остаток денег.</x:v>
      </x:c>
      <x:c r="B16" s="3"/>
      <x:c r="C16" s="3"/>
      <x:c r="D16" s="3"/>
    </x:row>
    <x:row r="17" ht="28" customHeight="1">
      <x:c r="A17" s="3" t="str">
        <x:v>Окупаемость 14,8 месяца — простое отношение всей сметы к стабильному месячному результату.</x:v>
      </x:c>
      <x:c r="B17" s="3"/>
      <x:c r="C17" s="3"/>
      <x:c r="D17" s="3"/>
    </x:row>
    <x:row r="18" ht="28" customHeight="1">
      <x:c r="A18" s="3" t="str">
        <x:v>Первые месяцы и сроки расчётов с платформой могут изменить фактический срок возврата денег.</x:v>
      </x:c>
      <x:c r="B18" s="3"/>
      <x:c r="C18" s="3"/>
      <x:c r="D18" s="3"/>
    </x:row>
    <x:row r="19" ht="28" customHeight="1">
      <x:c r="A19" s="3" t="str">
        <x:v>Внешние ссылки и происхождение чисел указаны рядом с вводными. Обновление: 03.10.2026.</x:v>
      </x:c>
      <x:c r="B19" s="3"/>
      <x:c r="C19" s="3"/>
      <x:c r="D19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6" hidden="0" customWidth="1"/>
    <x:col min="2" max="2" width="19" hidden="0" customWidth="1"/>
    <x:col min="3" max="3" width="19" hidden="0" customWidth="1"/>
    <x:col min="4" max="4" width="68" hidden="0" customWidth="1"/>
  </x:cols>
  <x:sheetData>
    <x:row r="1" ht="28" customHeight="1">
      <x:c r="A1" s="5" t="str">
        <x:v>ПВЗ — Допущения</x:v>
      </x:c>
      <x:c r="B1" s="2"/>
      <x:c r="C1" s="2"/>
      <x:c r="D1" s="2"/>
    </x:row>
    <x:row r="2" ht="28" customHeight="1">
      <x:c r="A2" s="2"/>
      <x:c r="B2" s="2"/>
      <x:c r="C2" s="2"/>
      <x:c r="D2" s="2"/>
    </x:row>
    <x:row r="3" ht="28" customHeight="1">
      <x:c r="A3" s="2"/>
      <x:c r="B3" s="2"/>
      <x:c r="C3" s="2"/>
      <x:c r="D3" s="2"/>
    </x:row>
    <x:row r="4" ht="28" customHeight="1">
      <x:c r="A4" s="7" t="str">
        <x:v>Показатель</x:v>
      </x:c>
      <x:c r="B4" s="7" t="str">
        <x:v>Значение</x:v>
      </x:c>
      <x:c r="C4" s="7" t="str">
        <x:v>Ед.</x:v>
      </x:c>
      <x:c r="D4" s="7" t="str">
        <x:v>Комментарий / источник</x:v>
      </x:c>
    </x:row>
    <x:row r="5" ht="42" customHeight="1">
      <x:c r="A5" s="3" t="str">
        <x:v>Входящий поток</x:v>
      </x:c>
      <x:c r="B5" s="10" t="n">
        <x:v>150</x:v>
      </x:c>
      <x:c r="C5" s="3" t="str">
        <x:v>позиций/день</x:v>
      </x:c>
      <x:c r="D5" s="3" t="str">
        <x:v>Сценарий ПВЗ, «Что остаётся владельцу»</x:v>
      </x:c>
    </x:row>
    <x:row r="6" ht="42" customHeight="1">
      <x:c r="A6" s="3" t="str">
        <x:v>Выкуп</x:v>
      </x:c>
      <x:c r="B6" s="11" t="n">
        <x:v>0.65</x:v>
      </x:c>
      <x:c r="C6" s="3" t="str"/>
      <x:c r="D6" s="3" t="str">
        <x:v>Сценарий; расчётное допущение, не отраслевой норматив</x:v>
      </x:c>
    </x:row>
    <x:row r="7" ht="42" customHeight="1">
      <x:c r="A7" s="3" t="str">
        <x:v>Средняя стоимость выкупленной позиции</x:v>
      </x:c>
      <x:c r="B7" s="10" t="n">
        <x:v>10000</x:v>
      </x:c>
      <x:c r="C7" s="3" t="str">
        <x:v>₸</x:v>
      </x:c>
      <x:c r="D7" s="3" t="str">
        <x:v>Сценарий; именно выкупленный товар</x:v>
      </x:c>
    </x:row>
    <x:row r="8" ht="42" customHeight="1">
      <x:c r="A8" s="3" t="str">
        <x:v>Ставка вознаграждения</x:v>
      </x:c>
      <x:c r="B8" s="11" t="n">
        <x:v>0.055</x:v>
      </x:c>
      <x:c r="C8" s="3" t="str"/>
      <x:c r="D8" s="3" t="str">
        <x:v>Сценарий; замените ставкой вашей оферты ПВЗ</x:v>
      </x:c>
    </x:row>
    <x:row r="9" ht="42" customHeight="1">
      <x:c r="A9" s="3" t="str">
        <x:v>Дней в нормальном месяце</x:v>
      </x:c>
      <x:c r="B9" s="10" t="n">
        <x:v>30</x:v>
      </x:c>
      <x:c r="C9" s="3" t="str">
        <x:v>дней</x:v>
      </x:c>
      <x:c r="D9" s="3" t="str">
        <x:v>Сценарий; модельные месяцы по 30 дней</x:v>
      </x:c>
    </x:row>
    <x:row r="10" ht="42" customHeight="1">
      <x:c r="A10" s="3" t="str">
        <x:v>Площадь</x:v>
      </x:c>
      <x:c r="B10" s="10" t="n">
        <x:v>40</x:v>
      </x:c>
      <x:c r="C10" s="3" t="str">
        <x:v>м²</x:v>
      </x:c>
      <x:c r="D10" s="3" t="str">
        <x:v>Сценарий, точка в Астане</x:v>
      </x:c>
    </x:row>
    <x:row r="11" ht="42" customHeight="1">
      <x:c r="A11" s="3" t="str">
        <x:v>Аренда за м²</x:v>
      </x:c>
      <x:c r="B11" s="10" t="n">
        <x:v>9000</x:v>
      </x:c>
      <x:c r="C11" s="3" t="str">
        <x:v>₸/мес</x:v>
      </x:c>
      <x:c r="D11" s="3" t="str">
        <x:v>Сценарий; не котировка конкретного помещения</x:v>
      </x:c>
    </x:row>
    <x:row r="12" ht="42" customHeight="1">
      <x:c r="A12" s="3" t="str">
        <x:v>Операторов</x:v>
      </x:c>
      <x:c r="B12" s="10" t="n">
        <x:v>2</x:v>
      </x:c>
      <x:c r="C12" s="3" t="str">
        <x:v>чел.</x:v>
      </x:c>
      <x:c r="D12" s="3" t="str">
        <x:v>Сценарий; при замене владельцем поставьте 1</x:v>
      </x:c>
    </x:row>
    <x:row r="13" ht="42" customHeight="1">
      <x:c r="A13" s="3" t="str">
        <x:v>Бюджет одного оператора</x:v>
      </x:c>
      <x:c r="B13" s="10" t="n">
        <x:v>340000</x:v>
      </x:c>
      <x:c r="C13" s="3" t="str">
        <x:v>₸/мес</x:v>
      </x:c>
      <x:c r="D13" s="3" t="str">
        <x:v>300 тыс. зарплата + 40 тыс. нагрузка по сценарию</x:v>
      </x:c>
    </x:row>
    <x:row r="14" ht="42" customHeight="1">
      <x:c r="A14" s="3" t="str">
        <x:v>Коммунальные расходы</x:v>
      </x:c>
      <x:c r="B14" s="10" t="n">
        <x:v>60000</x:v>
      </x:c>
      <x:c r="C14" s="3" t="str">
        <x:v>₸/мес</x:v>
      </x:c>
      <x:c r="D14" s="3" t="str">
        <x:v>Сценарий</x:v>
      </x:c>
    </x:row>
    <x:row r="15" ht="42" customHeight="1">
      <x:c r="A15" s="3" t="str">
        <x:v>Интернет и расходники</x:v>
      </x:c>
      <x:c r="B15" s="10" t="n">
        <x:v>60000</x:v>
      </x:c>
      <x:c r="C15" s="3" t="str">
        <x:v>₸/мес</x:v>
      </x:c>
      <x:c r="D15" s="3" t="str">
        <x:v>Сценарий</x:v>
      </x:c>
    </x:row>
    <x:row r="16" ht="42" customHeight="1">
      <x:c r="A16" s="3" t="str">
        <x:v>Дополнительные постоянные расходы</x:v>
      </x:c>
      <x:c r="B16" s="10" t="n">
        <x:v>0</x:v>
      </x:c>
      <x:c r="C16" s="3" t="str">
        <x:v>₸/мес</x:v>
      </x:c>
      <x:c r="D16" s="3" t="str">
        <x:v>Допущение: внесите бухгалтерию и платежи владельца</x:v>
      </x:c>
    </x:row>
    <x:row r="17" ht="42" customHeight="1">
      <x:c r="A17" s="3" t="str">
        <x:v>Удержания и потери</x:v>
      </x:c>
      <x:c r="B17" s="10" t="n">
        <x:v>0</x:v>
      </x:c>
      <x:c r="C17" s="3" t="str">
        <x:v>₸/мес</x:v>
      </x:c>
      <x:c r="D17" s="3" t="str">
        <x:v>Допущение; база сценария не включает штрафы</x:v>
      </x:c>
    </x:row>
    <x:row r="18" ht="42" customHeight="1">
      <x:c r="A18" s="3" t="str">
        <x:v>Условный налог с положительного результата</x:v>
      </x:c>
      <x:c r="B18" s="11" t="n">
        <x:v>0.1</x:v>
      </x:c>
      <x:c r="C18" s="3" t="str"/>
      <x:c r="D18" s="3" t="str">
        <x:v>Сценарий. ИПН 2026: https://www.gov.kz/memleket/entities/kgd/press/article/details/232086</x:v>
      </x:c>
    </x:row>
    <x:row r="19" ht="42" customHeight="1">
      <x:c r="A19" s="3" t="str">
        <x:v>Ремонт</x:v>
      </x:c>
      <x:c r="B19" s="10" t="n">
        <x:v>1600000</x:v>
      </x:c>
      <x:c r="C19" s="3" t="str">
        <x:v>₸</x:v>
      </x:c>
      <x:c r="D19" s="3" t="str">
        <x:v>Сценарий, стартовая смета</x:v>
      </x:c>
    </x:row>
    <x:row r="20" ht="42" customHeight="1">
      <x:c r="A20" s="3" t="str">
        <x:v>Вывеска</x:v>
      </x:c>
      <x:c r="B20" s="10" t="n">
        <x:v>300000</x:v>
      </x:c>
      <x:c r="C20" s="3" t="str">
        <x:v>₸</x:v>
      </x:c>
      <x:c r="D20" s="3" t="str">
        <x:v>Сценарий</x:v>
      </x:c>
    </x:row>
    <x:row r="21" ht="42" customHeight="1">
      <x:c r="A21" s="3" t="str">
        <x:v>Примерочные</x:v>
      </x:c>
      <x:c r="B21" s="10" t="n">
        <x:v>200000</x:v>
      </x:c>
      <x:c r="C21" s="3" t="str">
        <x:v>₸</x:v>
      </x:c>
      <x:c r="D21" s="3" t="str">
        <x:v>Сценарий</x:v>
      </x:c>
    </x:row>
    <x:row r="22" ht="42" customHeight="1">
      <x:c r="A22" s="3" t="str">
        <x:v>Мебель и стеллажи</x:v>
      </x:c>
      <x:c r="B22" s="10" t="n">
        <x:v>500000</x:v>
      </x:c>
      <x:c r="C22" s="3" t="str">
        <x:v>₸</x:v>
      </x:c>
      <x:c r="D22" s="3" t="str">
        <x:v>Сценарий</x:v>
      </x:c>
    </x:row>
    <x:row r="23" ht="42" customHeight="1">
      <x:c r="A23" s="3" t="str">
        <x:v>Компьютер и оборудование</x:v>
      </x:c>
      <x:c r="B23" s="10" t="n">
        <x:v>400000</x:v>
      </x:c>
      <x:c r="C23" s="3" t="str">
        <x:v>₸</x:v>
      </x:c>
      <x:c r="D23" s="3" t="str">
        <x:v>Сценарий</x:v>
      </x:c>
    </x:row>
    <x:row r="24" ht="42" customHeight="1">
      <x:c r="A24" s="3" t="str">
        <x:v>Видеонаблюдение</x:v>
      </x:c>
      <x:c r="B24" s="10" t="n">
        <x:v>200000</x:v>
      </x:c>
      <x:c r="C24" s="3" t="str">
        <x:v>₸</x:v>
      </x:c>
      <x:c r="D24" s="3" t="str">
        <x:v>Сценарий</x:v>
      </x:c>
    </x:row>
    <x:row r="25" ht="42" customHeight="1">
      <x:c r="A25" s="3" t="str">
        <x:v>Депозит в месяцах аренды</x:v>
      </x:c>
      <x:c r="B25" s="10" t="n">
        <x:v>1</x:v>
      </x:c>
      <x:c r="C25" s="3" t="str">
        <x:v>месяцев</x:v>
      </x:c>
      <x:c r="D25" s="3" t="str">
        <x:v>Разложение 1,08 млн на депозит и два месяца предоплаты</x:v>
      </x:c>
    </x:row>
    <x:row r="26" ht="42" customHeight="1">
      <x:c r="A26" s="3" t="str">
        <x:v>Предоплата аренды в месяцах</x:v>
      </x:c>
      <x:c r="B26" s="10" t="n">
        <x:v>2</x:v>
      </x:c>
      <x:c r="C26" s="3" t="str">
        <x:v>месяцев</x:v>
      </x:c>
      <x:c r="D26" s="3" t="str">
        <x:v>Сценарий; учитывается в денежном потоке без повторной оплаты</x:v>
      </x:c>
    </x:row>
    <x:row r="27" ht="42" customHeight="1">
      <x:c r="A27" s="3" t="str">
        <x:v>Оборотный резерв</x:v>
      </x:c>
      <x:c r="B27" s="10" t="n">
        <x:v>1700000</x:v>
      </x:c>
      <x:c r="C27" s="3" t="str">
        <x:v>₸</x:v>
      </x:c>
      <x:c r="D27" s="3" t="str">
        <x:v>Сценарий; деньги на счёте, не капитальные расходы</x:v>
      </x:c>
    </x:row>
    <x:row r="28" ht="42" customHeight="1">
      <x:c r="A28" s="3" t="str">
        <x:v>Целевая окупаемость</x:v>
      </x:c>
      <x:c r="B28" s="10" t="n">
        <x:v>15</x:v>
      </x:c>
      <x:c r="C28" s="3" t="str">
        <x:v>месяцев</x:v>
      </x:c>
      <x:c r="D28" s="3" t="str">
        <x:v>Для расчёта требуемого потока</x:v>
      </x:c>
    </x:row>
    <x:row r="29" ht="42" customHeight="1">
      <x:c r="A29" s="3" t="str">
        <x:v>Источник сценария</x:v>
      </x:c>
      <x:c r="B29" s="8"/>
      <x:c r="C29" s="3"/>
      <x:c r="D29" s="3" t="str">
        <x:v>03 ПВЗ/Сценарий/Inside_Numbers_ep4_pickup_point_суфлёр.docx</x:v>
      </x:c>
    </x:row>
    <x:row r="30" ht="42" customHeight="1">
      <x:c r="A30" s="3" t="str">
        <x:v>Выход на поток в месяц 1</x:v>
      </x:c>
      <x:c r="B30" s="11" t="n">
        <x:v>1</x:v>
      </x:c>
      <x:c r="C30" s="3" t="str">
        <x:v>доля</x:v>
      </x:c>
      <x:c r="D30" s="3" t="str">
        <x:v>По умолчанию стабильный поток как в сценарии; замените своим планом</x:v>
      </x:c>
    </x:row>
    <x:row r="31" ht="42" customHeight="1">
      <x:c r="A31" s="3" t="str">
        <x:v>Выход на поток в месяц 2</x:v>
      </x:c>
      <x:c r="B31" s="11" t="n">
        <x:v>1</x:v>
      </x:c>
      <x:c r="C31" s="3" t="str">
        <x:v>доля</x:v>
      </x:c>
      <x:c r="D31" s="3" t="str">
        <x:v>Редактируемый прогноз, не фактические данные</x:v>
      </x:c>
    </x:row>
    <x:row r="32" ht="42" customHeight="1">
      <x:c r="A32" s="3" t="str">
        <x:v>Выход на поток в месяц 3</x:v>
      </x:c>
      <x:c r="B32" s="11" t="n">
        <x:v>1</x:v>
      </x:c>
      <x:c r="C32" s="3" t="str">
        <x:v>доля</x:v>
      </x:c>
      <x:c r="D32" s="3" t="str">
        <x:v>Редактируемый прогноз, не фактические данные</x:v>
      </x:c>
    </x:row>
    <x:row r="33" ht="42" customHeight="1">
      <x:c r="A33" s="3" t="str">
        <x:v>Выход на поток в месяц 4</x:v>
      </x:c>
      <x:c r="B33" s="11" t="n">
        <x:v>1</x:v>
      </x:c>
      <x:c r="C33" s="3" t="str">
        <x:v>доля</x:v>
      </x:c>
      <x:c r="D33" s="3" t="str">
        <x:v>Редактируемый прогноз, не фактические данные</x:v>
      </x:c>
    </x:row>
    <x:row r="34" ht="42" customHeight="1">
      <x:c r="A34" s="3" t="str">
        <x:v>Выход на поток в месяц 5</x:v>
      </x:c>
      <x:c r="B34" s="11" t="n">
        <x:v>1</x:v>
      </x:c>
      <x:c r="C34" s="3" t="str">
        <x:v>доля</x:v>
      </x:c>
      <x:c r="D34" s="3" t="str">
        <x:v>Редактируемый прогноз, не фактические данные</x:v>
      </x:c>
    </x:row>
    <x:row r="35" ht="42" customHeight="1">
      <x:c r="A35" s="3" t="str">
        <x:v>Выход на поток в месяц 6</x:v>
      </x:c>
      <x:c r="B35" s="11" t="n">
        <x:v>1</x:v>
      </x:c>
      <x:c r="C35" s="3" t="str">
        <x:v>доля</x:v>
      </x:c>
      <x:c r="D35" s="3" t="str">
        <x:v>Редактируемый прогноз, не фактические данные</x:v>
      </x:c>
    </x:row>
    <x:row r="36" ht="42" customHeight="1">
      <x:c r="A36" s="3" t="str">
        <x:v>Выход на поток в месяц 7</x:v>
      </x:c>
      <x:c r="B36" s="11" t="n">
        <x:v>1</x:v>
      </x:c>
      <x:c r="C36" s="3" t="str">
        <x:v>доля</x:v>
      </x:c>
      <x:c r="D36" s="3" t="str">
        <x:v>Редактируемый прогноз, не фактические данные</x:v>
      </x:c>
    </x:row>
    <x:row r="37" ht="42" customHeight="1">
      <x:c r="A37" s="3" t="str">
        <x:v>Выход на поток в месяц 8</x:v>
      </x:c>
      <x:c r="B37" s="11" t="n">
        <x:v>1</x:v>
      </x:c>
      <x:c r="C37" s="3" t="str">
        <x:v>доля</x:v>
      </x:c>
      <x:c r="D37" s="3" t="str">
        <x:v>Редактируемый прогноз, не фактические данные</x:v>
      </x:c>
    </x:row>
    <x:row r="38" ht="42" customHeight="1">
      <x:c r="A38" s="3" t="str">
        <x:v>Выход на поток в месяц 9</x:v>
      </x:c>
      <x:c r="B38" s="11" t="n">
        <x:v>1</x:v>
      </x:c>
      <x:c r="C38" s="3" t="str">
        <x:v>доля</x:v>
      </x:c>
      <x:c r="D38" s="3" t="str">
        <x:v>Редактируемый прогноз, не фактические данные</x:v>
      </x:c>
    </x:row>
    <x:row r="39" ht="42" customHeight="1">
      <x:c r="A39" s="3" t="str">
        <x:v>Выход на поток в месяц 10</x:v>
      </x:c>
      <x:c r="B39" s="11" t="n">
        <x:v>1</x:v>
      </x:c>
      <x:c r="C39" s="3" t="str">
        <x:v>доля</x:v>
      </x:c>
      <x:c r="D39" s="3" t="str">
        <x:v>Редактируемый прогноз, не фактические данные</x:v>
      </x:c>
    </x:row>
    <x:row r="40" ht="42" customHeight="1">
      <x:c r="A40" s="3" t="str">
        <x:v>Выход на поток в месяц 11</x:v>
      </x:c>
      <x:c r="B40" s="11" t="n">
        <x:v>1</x:v>
      </x:c>
      <x:c r="C40" s="3" t="str">
        <x:v>доля</x:v>
      </x:c>
      <x:c r="D40" s="3" t="str">
        <x:v>Редактируемый прогноз, не фактические данные</x:v>
      </x:c>
    </x:row>
    <x:row r="41" ht="42" customHeight="1">
      <x:c r="A41" s="3" t="str">
        <x:v>Выход на поток в месяц 12</x:v>
      </x:c>
      <x:c r="B41" s="11" t="n">
        <x:v>1</x:v>
      </x:c>
      <x:c r="C41" s="3" t="str">
        <x:v>доля</x:v>
      </x:c>
      <x:c r="D41" s="3" t="str">
        <x:v>Редактируемый прогноз, не фактические данные</x:v>
      </x:c>
    </x:row>
  </x:sheetData>
  <x:dataValidations count="10">
    <x:dataValidation type="decimal" operator="between" sqref="B6">
      <x:formula1>0</x:formula1>
      <x:formula2>1</x:formula2>
    </x:dataValidation>
    <x:dataValidation type="decimal" operator="between" sqref="B8">
      <x:formula1>0</x:formula1>
      <x:formula2>1</x:formula2>
    </x:dataValidation>
    <x:dataValidation type="whole" operator="between" sqref="B9">
      <x:formula1>1</x:formula1>
      <x:formula2>1200</x:formula2>
    </x:dataValidation>
    <x:dataValidation type="whole" operator="between" sqref="B28">
      <x:formula1>1</x:formula1>
      <x:formula2>1200</x:formula2>
    </x:dataValidation>
    <x:dataValidation type="decimal" operator="greaterThanOrEqual" sqref="B5">
      <x:formula1>0</x:formula1>
    </x:dataValidation>
    <x:dataValidation type="decimal" operator="greaterThanOrEqual" sqref="B7">
      <x:formula1>0</x:formula1>
    </x:dataValidation>
    <x:dataValidation type="decimal" operator="greaterThanOrEqual" sqref="B10:B17">
      <x:formula1>0</x:formula1>
    </x:dataValidation>
    <x:dataValidation type="decimal" operator="greaterThanOrEqual" sqref="B19:B27">
      <x:formula1>0</x:formula1>
    </x:dataValidation>
    <x:dataValidation type="decimal" operator="greaterThanOrEqual" sqref="B30:B41">
      <x:formula1>0</x:formula1>
    </x:dataValidation>
    <x:dataValidation type="decimal" operator="between" sqref="B18">
      <x:formula1>0</x:formula1>
      <x:formula2>0.99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6" hidden="0" customWidth="1"/>
    <x:col min="2" max="2" width="19" hidden="0" customWidth="1"/>
    <x:col min="3" max="3" width="19" hidden="0" customWidth="1"/>
    <x:col min="4" max="4" width="68" hidden="0" customWidth="1"/>
  </x:cols>
  <x:sheetData>
    <x:row r="1" ht="28" customHeight="1">
      <x:c r="A1" s="5" t="str">
        <x:v>ПВЗ — Модель</x:v>
      </x:c>
      <x:c r="B1" s="2"/>
      <x:c r="C1" s="2"/>
      <x:c r="D1" s="2"/>
    </x:row>
    <x:row r="2" ht="28" customHeight="1">
      <x:c r="A2" s="2"/>
      <x:c r="B2" s="2"/>
      <x:c r="C2" s="2"/>
      <x:c r="D2" s="2"/>
    </x:row>
    <x:row r="3" ht="28" customHeight="1">
      <x:c r="A3" s="2"/>
      <x:c r="B3" s="2"/>
      <x:c r="C3" s="2"/>
      <x:c r="D3" s="2"/>
    </x:row>
    <x:row r="4" ht="28" customHeight="1">
      <x:c r="A4" s="7" t="str">
        <x:v>Показатель</x:v>
      </x:c>
      <x:c r="B4" s="7" t="str">
        <x:v>За месяц</x:v>
      </x:c>
      <x:c r="C4" s="7" t="str">
        <x:v>Ед.</x:v>
      </x:c>
      <x:c r="D4" s="7" t="str">
        <x:v>Как считается</x:v>
      </x:c>
    </x:row>
    <x:row r="5" ht="28" customHeight="1">
      <x:c r="A5" s="3" t="str">
        <x:v>Поступило позиций</x:v>
      </x:c>
      <x:c r="B5" s="23" t="n">
        <x:f>'Допущения'!B5*'Допущения'!B9</x:f>
        <x:v>4500</x:v>
      </x:c>
      <x:c r="C5" s="3" t="str">
        <x:v>шт.</x:v>
      </x:c>
      <x:c r="D5" s="3" t="str">
        <x:v>Поток × дни</x:v>
      </x:c>
    </x:row>
    <x:row r="6" ht="28" customHeight="1">
      <x:c r="A6" s="3" t="str">
        <x:v>Выкуплено позиций</x:v>
      </x:c>
      <x:c r="B6" s="23" t="n">
        <x:f>B5*'Допущения'!B6</x:f>
        <x:v>2925</x:v>
      </x:c>
      <x:c r="C6" s="3" t="str">
        <x:v>шт.</x:v>
      </x:c>
      <x:c r="D6" s="3" t="str">
        <x:v>Входящий поток × доля выкупа</x:v>
      </x:c>
    </x:row>
    <x:row r="7" ht="28" customHeight="1">
      <x:c r="A7" s="3" t="str">
        <x:v>Не выкуплено</x:v>
      </x:c>
      <x:c r="B7" s="8" t="n">
        <x:f>B5-B6</x:f>
        <x:v>1575</x:v>
      </x:c>
      <x:c r="C7" s="3" t="str">
        <x:v>шт.</x:v>
      </x:c>
      <x:c r="D7" s="3" t="str">
        <x:v>Обработка этих позиций тоже требует времени</x:v>
      </x:c>
    </x:row>
    <x:row r="8" ht="28" customHeight="1">
      <x:c r="A8" s="3" t="str">
        <x:v>Стоимость выкупленного товара</x:v>
      </x:c>
      <x:c r="B8" s="23" t="n">
        <x:f>B6*'Допущения'!B7</x:f>
        <x:v>29250000</x:v>
      </x:c>
      <x:c r="C8" s="3" t="str">
        <x:v>₸</x:v>
      </x:c>
      <x:c r="D8" s="3" t="str">
        <x:v>Оборот товара не является выручкой ПВЗ</x:v>
      </x:c>
    </x:row>
    <x:row r="9" ht="28" customHeight="1">
      <x:c r="A9" s="16" t="str">
        <x:v>Вознаграждение ПВЗ</x:v>
      </x:c>
      <x:c r="B9" s="24" t="n">
        <x:f>B8*'Допущения'!B8</x:f>
        <x:v>1608750</x:v>
      </x:c>
      <x:c r="C9" s="16" t="str">
        <x:v>₸</x:v>
      </x:c>
      <x:c r="D9" s="16" t="str">
        <x:v>Собственная выручка пункта</x:v>
      </x:c>
    </x:row>
    <x:row r="10" ht="28" customHeight="1">
      <x:c r="A10" s="3" t="str">
        <x:v>Доход с выкупленной позиции</x:v>
      </x:c>
      <x:c r="B10" s="23" t="n">
        <x:f>'Допущения'!B7*'Допущения'!B8</x:f>
        <x:v>550</x:v>
      </x:c>
      <x:c r="C10" s="3" t="str">
        <x:v>₸</x:v>
      </x:c>
      <x:c r="D10" s="3" t="str">
        <x:v>Средняя стоимость × ставка</x:v>
      </x:c>
    </x:row>
    <x:row r="11" ht="28" customHeight="1">
      <x:c r="A11" s="3" t="str">
        <x:v>Доход с входящей позиции</x:v>
      </x:c>
      <x:c r="B11" s="25" t="n">
        <x:f>B10*'Допущения'!B6</x:f>
        <x:v>357.5</x:v>
      </x:c>
      <x:c r="C11" s="3" t="str">
        <x:v>₸</x:v>
      </x:c>
      <x:c r="D11" s="3" t="str">
        <x:v>Доход с выкупа × доля выкупа</x:v>
      </x:c>
    </x:row>
    <x:row r="12" ht="28" customHeight="1">
      <x:c r="A12" s="3" t="str">
        <x:v>Аренда</x:v>
      </x:c>
      <x:c r="B12" s="23" t="n">
        <x:f>'Допущения'!B10*'Допущения'!B11</x:f>
        <x:v>360000</x:v>
      </x:c>
      <x:c r="C12" s="3" t="str">
        <x:v>₸</x:v>
      </x:c>
      <x:c r="D12" s="3" t="str">
        <x:v>Площадь × ставка аренды</x:v>
      </x:c>
    </x:row>
    <x:row r="13" ht="28" customHeight="1">
      <x:c r="A13" s="3" t="str">
        <x:v>Персонал</x:v>
      </x:c>
      <x:c r="B13" s="23" t="n">
        <x:f>'Допущения'!B12*'Допущения'!B13</x:f>
        <x:v>680000</x:v>
      </x:c>
      <x:c r="C13" s="3" t="str">
        <x:v>₸</x:v>
      </x:c>
      <x:c r="D13" s="3" t="str">
        <x:v>Количество × бюджет оператора</x:v>
      </x:c>
    </x:row>
    <x:row r="14" ht="28" customHeight="1">
      <x:c r="A14" s="3" t="str">
        <x:v>Коммунальные и расходники</x:v>
      </x:c>
      <x:c r="B14" s="23" t="n">
        <x:f>SUM('Допущения'!B14:B15)</x:f>
        <x:v>120000</x:v>
      </x:c>
      <x:c r="C14" s="3" t="str">
        <x:v>₸</x:v>
      </x:c>
      <x:c r="D14" s="3" t="str">
        <x:v>Коммунальные + интернет и расходники</x:v>
      </x:c>
    </x:row>
    <x:row r="15" ht="28" customHeight="1">
      <x:c r="A15" s="3" t="str">
        <x:v>Прочие расходы</x:v>
      </x:c>
      <x:c r="B15" s="23" t="n">
        <x:f>SUM('Допущения'!B16:B17)</x:f>
        <x:v>0</x:v>
      </x:c>
      <x:c r="C15" s="3" t="str">
        <x:v>₸</x:v>
      </x:c>
      <x:c r="D15" s="3" t="str">
        <x:v>Дополнительные расходы + потери</x:v>
      </x:c>
    </x:row>
    <x:row r="16" ht="28" customHeight="1">
      <x:c r="A16" s="16" t="str">
        <x:v>Итого операционные расходы</x:v>
      </x:c>
      <x:c r="B16" s="17" t="n">
        <x:f>SUM(B12:B15)</x:f>
        <x:v>1160000</x:v>
      </x:c>
      <x:c r="C16" s="16" t="str">
        <x:v>₸</x:v>
      </x:c>
      <x:c r="D16" s="16" t="str">
        <x:v>Без амортизации и финансирования</x:v>
      </x:c>
    </x:row>
    <x:row r="17" ht="28" customHeight="1">
      <x:c r="A17" s="3" t="str">
        <x:v>Результат до условного налога</x:v>
      </x:c>
      <x:c r="B17" s="8" t="n">
        <x:f>B9-B16</x:f>
        <x:v>448750</x:v>
      </x:c>
      <x:c r="C17" s="3" t="str">
        <x:v>₸</x:v>
      </x:c>
      <x:c r="D17" s="3" t="str">
        <x:v>Вознаграждение − расходы</x:v>
      </x:c>
    </x:row>
    <x:row r="18" ht="28" customHeight="1">
      <x:c r="A18" s="3" t="str">
        <x:v>Условный налог</x:v>
      </x:c>
      <x:c r="B18" s="23" t="n">
        <x:f>MAX(0,B17)*'Допущения'!B18</x:f>
        <x:v>44875</x:v>
      </x:c>
      <x:c r="C18" s="3" t="str">
        <x:v>₸</x:v>
      </x:c>
      <x:c r="D18" s="3" t="str">
        <x:v>Отрицательный результат не даёт налогового возврата</x:v>
      </x:c>
    </x:row>
    <x:row r="19" ht="28" customHeight="1">
      <x:c r="A19" s="16" t="str">
        <x:v>Результат после условного налога</x:v>
      </x:c>
      <x:c r="B19" s="17" t="n">
        <x:f>B17-B18</x:f>
        <x:v>403875</x:v>
      </x:c>
      <x:c r="C19" s="16" t="str">
        <x:v>₸</x:v>
      </x:c>
      <x:c r="D19" s="16" t="str">
        <x:v>Денежный результат нормального месяца при оплате в том же месяце</x:v>
      </x:c>
    </x:row>
    <x:row r="20" ht="28" customHeight="1">
      <x:c r="A20" s="3" t="str">
        <x:v>Маржа вознаграждения</x:v>
      </x:c>
      <x:c r="B20" s="12" t="n">
        <x:f>IF(B9=0,0,B19/B9)</x:f>
        <x:v>0.25104895104895103</x:v>
      </x:c>
      <x:c r="C20" s="3" t="str"/>
      <x:c r="D20" s="3" t="str">
        <x:v>Результат / собственная выручка ПВЗ</x:v>
      </x:c>
    </x:row>
    <x:row r="21" ht="28" customHeight="1">
      <x:c r="A21" s="3" t="str">
        <x:v>Доля результата в обороте товара</x:v>
      </x:c>
      <x:c r="B21" s="12" t="n">
        <x:f>IF(B8=0,0,B19/B8)</x:f>
        <x:v>0.013807692307692307</x:v>
      </x:c>
      <x:c r="C21" s="3" t="str"/>
      <x:c r="D21" s="3" t="str">
        <x:v>Результат / стоимость выкупленного товара</x:v>
      </x:c>
    </x:row>
    <x:row r="22" ht="28" customHeight="1">
      <x:c r="A22" s="3" t="str">
        <x:v>Ремонт и оборудование</x:v>
      </x:c>
      <x:c r="B22" s="23" t="n">
        <x:f>SUM('Допущения'!B19:B24)</x:f>
        <x:v>3200000</x:v>
      </x:c>
      <x:c r="C22" s="3" t="str">
        <x:v>₸</x:v>
      </x:c>
      <x:c r="D22" s="3" t="str">
        <x:v>Стартовые капитальные затраты</x:v>
      </x:c>
    </x:row>
    <x:row r="23" ht="28" customHeight="1">
      <x:c r="A23" s="3" t="str">
        <x:v>Депозит</x:v>
      </x:c>
      <x:c r="B23" s="23" t="n">
        <x:f>B12*'Допущения'!B25</x:f>
        <x:v>360000</x:v>
      </x:c>
      <x:c r="C23" s="3" t="str">
        <x:v>₸</x:v>
      </x:c>
      <x:c r="D23" s="3" t="str">
        <x:v>Возвратный депозит не является месячным расходом</x:v>
      </x:c>
    </x:row>
    <x:row r="24" ht="28" customHeight="1">
      <x:c r="A24" s="3" t="str">
        <x:v>Предоплата аренды</x:v>
      </x:c>
      <x:c r="B24" s="23" t="n">
        <x:f>B12*'Допущения'!B26</x:f>
        <x:v>720000</x:v>
      </x:c>
      <x:c r="C24" s="3" t="str">
        <x:v>₸</x:v>
      </x:c>
      <x:c r="D24" s="3" t="str">
        <x:v>Погашает аренду первых месяцев</x:v>
      </x:c>
    </x:row>
    <x:row r="25" ht="28" customHeight="1">
      <x:c r="A25" s="3" t="str">
        <x:v>Оборотный резерв</x:v>
      </x:c>
      <x:c r="B25" s="23" t="n">
        <x:f>'Допущения'!B27</x:f>
        <x:v>1700000</x:v>
      </x:c>
      <x:c r="C25" s="3" t="str">
        <x:v>₸</x:v>
      </x:c>
      <x:c r="D25" s="3" t="str">
        <x:v>Начальная ликвидность</x:v>
      </x:c>
    </x:row>
    <x:row r="26" ht="28" customHeight="1">
      <x:c r="A26" s="16" t="str">
        <x:v>Всего денег на запуск</x:v>
      </x:c>
      <x:c r="B26" s="17" t="n">
        <x:f>SUM(B22:B25)</x:f>
        <x:v>5980000</x:v>
      </x:c>
      <x:c r="C26" s="16" t="str">
        <x:v>₸</x:v>
      </x:c>
      <x:c r="D26" s="16" t="str">
        <x:v>Все стартовые вложения, включая резерв</x:v>
      </x:c>
    </x:row>
    <x:row r="27" ht="28" customHeight="1">
      <x:c r="A27" s="3" t="str">
        <x:v>Простая окупаемость</x:v>
      </x:c>
      <x:c r="B27" s="13" t="n">
        <x:f>IF(B19&gt;0,B26/B19,"не окупается")</x:f>
        <x:v>14.806561436087899</x:v>
      </x:c>
      <x:c r="C27" s="3" t="str">
        <x:v>месяцев</x:v>
      </x:c>
      <x:c r="D27" s="3" t="str">
        <x:v>Стабильный месяц; без разгона и стоимости денег</x:v>
      </x:c>
    </x:row>
  </x:sheetData>
  <x:conditionalFormatting sqref="B19:B19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6" hidden="0" customWidth="1"/>
    <x:col min="2" max="2" width="19" hidden="0" customWidth="1"/>
    <x:col min="3" max="3" width="19" hidden="0" customWidth="1"/>
    <x:col min="4" max="4" width="68" hidden="0" customWidth="1"/>
  </x:cols>
  <x:sheetData>
    <x:row r="1" ht="28" customHeight="1">
      <x:c r="A1" s="5" t="str">
        <x:v>ПВЗ — Безубыток</x:v>
      </x:c>
      <x:c r="B1" s="2"/>
      <x:c r="C1" s="2"/>
      <x:c r="D1" s="2"/>
    </x:row>
    <x:row r="2" ht="28" customHeight="1">
      <x:c r="A2" s="2"/>
      <x:c r="B2" s="2"/>
      <x:c r="C2" s="2"/>
      <x:c r="D2" s="2"/>
    </x:row>
    <x:row r="3" ht="28" customHeight="1">
      <x:c r="A3" s="2"/>
      <x:c r="B3" s="2"/>
      <x:c r="C3" s="2"/>
      <x:c r="D3" s="2"/>
    </x:row>
    <x:row r="4" ht="28" customHeight="1">
      <x:c r="A4" s="7" t="str">
        <x:v>Показатель</x:v>
      </x:c>
      <x:c r="B4" s="7" t="str">
        <x:v>Значение</x:v>
      </x:c>
      <x:c r="C4" s="7" t="str">
        <x:v>Ед.</x:v>
      </x:c>
      <x:c r="D4" s="7" t="str">
        <x:v>Смысл</x:v>
      </x:c>
    </x:row>
    <x:row r="5" ht="28" customHeight="1">
      <x:c r="A5" s="3" t="str">
        <x:v>Расходы в месяц</x:v>
      </x:c>
      <x:c r="B5" s="26" t="n">
        <x:f>'Модель'!B16</x:f>
        <x:v>1160000</x:v>
      </x:c>
      <x:c r="C5" s="3" t="str">
        <x:v>₸</x:v>
      </x:c>
      <x:c r="D5" s="3" t="str">
        <x:v>При текущем числе операторов</x:v>
      </x:c>
    </x:row>
    <x:row r="6" ht="28" customHeight="1">
      <x:c r="A6" s="3" t="str">
        <x:v>Выкупленных позиций в месяц</x:v>
      </x:c>
      <x:c r="B6" s="27" t="n">
        <x:f>IF('Модель'!B10&gt;0,B5/'Модель'!B10,"нет дохода")</x:f>
        <x:v>2109.090909090909</x:v>
      </x:c>
      <x:c r="C6" s="3" t="str">
        <x:v>шт.</x:v>
      </x:c>
      <x:c r="D6" s="3" t="str">
        <x:v>Расходы / доход с выкупа</x:v>
      </x:c>
    </x:row>
    <x:row r="7" ht="28" customHeight="1">
      <x:c r="A7" s="3" t="str">
        <x:v>Выкупленных позиций в день</x:v>
      </x:c>
      <x:c r="B7" s="27" t="n">
        <x:f>IF('Модель'!B10&gt;0,B6/'Допущения'!B9,"нет дохода")</x:f>
        <x:v>70.3030303030303</x:v>
      </x:c>
      <x:c r="C7" s="3" t="str">
        <x:v>шт.</x:v>
      </x:c>
      <x:c r="D7" s="3" t="str">
        <x:v>Средний математический порог</x:v>
      </x:c>
    </x:row>
    <x:row r="8" ht="28" customHeight="1">
      <x:c r="A8" s="3" t="str">
        <x:v>Входящих позиций в день</x:v>
      </x:c>
      <x:c r="B8" s="27" t="n">
        <x:f>IF('Модель'!B11&gt;0,B5/('Модель'!B11*'Допущения'!B9),"нет дохода")</x:f>
        <x:v>108.15850815850816</x:v>
      </x:c>
      <x:c r="C8" s="3" t="str">
        <x:v>шт.</x:v>
      </x:c>
      <x:c r="D8" s="3" t="str">
        <x:v>С учётом невыкупа</x:v>
      </x:c>
    </x:row>
    <x:row r="9" ht="28" customHeight="1">
      <x:c r="A9" s="3" t="str">
        <x:v>Минимум целых входящих позиций</x:v>
      </x:c>
      <x:c r="B9" s="8" t="n">
        <x:f>IF(ISNUMBER(B8),ROUNDUP(B8,0),"нет дохода")</x:f>
        <x:v>109</x:v>
      </x:c>
      <x:c r="C9" s="3" t="str">
        <x:v>шт./день</x:v>
      </x:c>
      <x:c r="D9" s="3" t="str">
        <x:v>Округление вверх, а не до ближайшего</x:v>
      </x:c>
    </x:row>
    <x:row r="10" ht="28" customHeight="1">
      <x:c r="A10" s="3" t="str">
        <x:v>Запас до безубыточности</x:v>
      </x:c>
      <x:c r="B10" s="28" t="n">
        <x:f>IF('Модель'!B9&gt;0,('Модель'!B9-B5)/'Модель'!B9,0)</x:f>
        <x:v>0.2789432789432789</x:v>
      </x:c>
      <x:c r="C10" s="3" t="str"/>
      <x:c r="D10" s="3" t="str">
        <x:v>Допустимое падение выручки</x:v>
      </x:c>
    </x:row>
    <x:row r="11" ht="28" customHeight="1">
      <x:c r="A11" s="3" t="str">
        <x:v>Нужный результат для целевого срока</x:v>
      </x:c>
      <x:c r="B11" s="26" t="n">
        <x:f>'Модель'!B26/'Допущения'!B28</x:f>
        <x:v>398666.6666666667</x:v>
      </x:c>
      <x:c r="C11" s="3" t="str">
        <x:v>₸/мес</x:v>
      </x:c>
      <x:c r="D11" s="3" t="str">
        <x:v>Стартовая смета / желаемый срок</x:v>
      </x:c>
    </x:row>
    <x:row r="12" ht="28" customHeight="1">
      <x:c r="A12" s="3" t="str">
        <x:v>Выручка для целевого срока</x:v>
      </x:c>
      <x:c r="B12" s="26" t="n">
        <x:f>B5+B11/(1-'Допущения'!B18)</x:f>
        <x:v>1602962.962962963</x:v>
      </x:c>
      <x:c r="C12" s="3" t="str">
        <x:v>₸/мес</x:v>
      </x:c>
      <x:c r="D12" s="3" t="str">
        <x:v>При положительном результате</x:v>
      </x:c>
    </x:row>
    <x:row r="13" ht="28" customHeight="1">
      <x:c r="A13" s="3" t="str">
        <x:v>Входящий поток для целевого срока</x:v>
      </x:c>
      <x:c r="B13" s="26" t="n">
        <x:f>IF('Модель'!B11&gt;0,ROUNDUP(B12/('Модель'!B11*'Допущения'!B9),0),"нет дохода")</x:f>
        <x:v>150</x:v>
      </x:c>
      <x:c r="C13" s="3" t="str">
        <x:v>шт./день</x:v>
      </x:c>
      <x:c r="D13" s="3" t="str">
        <x:v>Поток без разгона</x:v>
      </x:c>
    </x:row>
    <x:row r="14" ht="42" customHeight="1">
      <x:c r="A14" s="3" t="str">
        <x:v>Стресс и рычаги</x:v>
      </x:c>
      <x:c r="B14" s="8"/>
      <x:c r="C14" s="3"/>
      <x:c r="D14" s="3"/>
    </x:row>
    <x:row r="15" ht="42" customHeight="1">
      <x:c r="A15" s="3" t="str">
        <x:v>Конкурент рядом</x:v>
      </x:c>
      <x:c r="B15" s="8" t="str">
        <x:v>Поток 105</x:v>
      </x:c>
      <x:c r="C15" s="3" t="str">
        <x:v>в Допущения B5</x:v>
      </x:c>
      <x:c r="D15" s="3" t="str">
        <x:v>Проверьте, что прочие затраты остались прежними</x:v>
      </x:c>
    </x:row>
    <x:row r="16" ht="42" customHeight="1">
      <x:c r="A16" s="3" t="str">
        <x:v>Снижение тарифа</x:v>
      </x:c>
      <x:c r="B16" s="8" t="str">
        <x:v>Ставка 4,5%</x:v>
      </x:c>
      <x:c r="C16" s="3" t="str">
        <x:v>в Допущения B8</x:v>
      </x:c>
      <x:c r="D16" s="3" t="str">
        <x:v>Падение на 1 процентный пункт</x:v>
      </x:c>
    </x:row>
    <x:row r="17" ht="42" customHeight="1">
      <x:c r="A17" s="3" t="str">
        <x:v>Рост выкупа</x:v>
      </x:c>
      <x:c r="B17" s="8" t="str">
        <x:v>Выкуп 75%</x:v>
      </x:c>
      <x:c r="C17" s="3" t="str">
        <x:v>в Допущения B6</x:v>
      </x:c>
      <x:c r="D17" s="3" t="str">
        <x:v>При прежнем входящем потоке</x:v>
      </x:c>
    </x:row>
    <x:row r="18" ht="42" customHeight="1">
      <x:c r="A18" s="3" t="str">
        <x:v>Владелец за стойкой</x:v>
      </x:c>
      <x:c r="B18" s="8" t="str">
        <x:v>Операторов 1</x:v>
      </x:c>
      <x:c r="C18" s="3" t="str">
        <x:v>в Допущения B12</x:v>
      </x:c>
      <x:c r="D18" s="3" t="str">
        <x:v>Дополнительный остаток включает оплату собственного труда</x:v>
      </x:c>
    </x:row>
    <x:row r="19" ht="42" customHeight="1">
      <x:c r="A19" s="3"/>
      <x:c r="B19" s="8"/>
      <x:c r="C19" s="3"/>
      <x:c r="D19" s="3"/>
    </x:row>
    <x:row r="20" ht="42" customHeight="1">
      <x:c r="A20" s="3"/>
      <x:c r="B20" s="8"/>
      <x:c r="C20" s="3"/>
      <x:c r="D20" s="3"/>
    </x:row>
    <x:row r="21" ht="42" customHeight="1">
      <x:c r="A21" s="3"/>
      <x:c r="B21" s="8"/>
      <x:c r="C21" s="3"/>
      <x:c r="D21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46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8" customHeight="1">
      <x:c r="A1" s="5" t="str">
        <x:v>ПВЗ — Год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8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8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8" customHeight="1">
      <x:c r="A4" s="7" t="str">
        <x:v>Показатель</x:v>
      </x:c>
      <x:c r="B4" s="7" t="str">
        <x:v>Месяц 1</x:v>
      </x:c>
      <x:c r="C4" s="7" t="str">
        <x:v>Месяц 2</x:v>
      </x:c>
      <x:c r="D4" s="7" t="str">
        <x:v>Месяц 3</x:v>
      </x:c>
      <x:c r="E4" s="19" t="str">
        <x:v>Месяц 4</x:v>
      </x:c>
      <x:c r="F4" s="19" t="str">
        <x:v>Месяц 5</x:v>
      </x:c>
      <x:c r="G4" s="19" t="str">
        <x:v>Месяц 6</x:v>
      </x:c>
      <x:c r="H4" s="19" t="str">
        <x:v>Месяц 7</x:v>
      </x:c>
      <x:c r="I4" s="19" t="str">
        <x:v>Месяц 8</x:v>
      </x:c>
      <x:c r="J4" s="19" t="str">
        <x:v>Месяц 9</x:v>
      </x:c>
      <x:c r="K4" s="19" t="str">
        <x:v>Месяц 10</x:v>
      </x:c>
      <x:c r="L4" s="19" t="str">
        <x:v>Месяц 11</x:v>
      </x:c>
      <x:c r="M4" s="19" t="str">
        <x:v>Месяц 12</x:v>
      </x:c>
      <x:c r="N4" s="19" t="str">
        <x:v>За 12 месяцев</x:v>
      </x:c>
    </x:row>
    <x:row r="5" ht="28" customHeight="1">
      <x:c r="A5" s="3" t="str">
        <x:v>Доля стабильного потока</x:v>
      </x:c>
      <x:c r="B5" s="29" t="n">
        <x:f>'Допущения'!B30</x:f>
        <x:v>1</x:v>
      </x:c>
      <x:c r="C5" s="21" t="n">
        <x:f>'Допущения'!B31</x:f>
        <x:v>1</x:v>
      </x:c>
      <x:c r="D5" s="21" t="n">
        <x:f>'Допущения'!B32</x:f>
        <x:v>1</x:v>
      </x:c>
      <x:c r="E5" s="22" t="n">
        <x:f>'Допущения'!B33</x:f>
        <x:v>1</x:v>
      </x:c>
      <x:c r="F5" s="22" t="n">
        <x:f>'Допущения'!B34</x:f>
        <x:v>1</x:v>
      </x:c>
      <x:c r="G5" s="22" t="n">
        <x:f>'Допущения'!B35</x:f>
        <x:v>1</x:v>
      </x:c>
      <x:c r="H5" s="22" t="n">
        <x:f>'Допущения'!B36</x:f>
        <x:v>1</x:v>
      </x:c>
      <x:c r="I5" s="22" t="n">
        <x:f>'Допущения'!B37</x:f>
        <x:v>1</x:v>
      </x:c>
      <x:c r="J5" s="22" t="n">
        <x:f>'Допущения'!B38</x:f>
        <x:v>1</x:v>
      </x:c>
      <x:c r="K5" s="22" t="n">
        <x:f>'Допущения'!B39</x:f>
        <x:v>1</x:v>
      </x:c>
      <x:c r="L5" s="22" t="n">
        <x:f>'Допущения'!B40</x:f>
        <x:v>1</x:v>
      </x:c>
      <x:c r="M5" s="22" t="n">
        <x:f>'Допущения'!B41</x:f>
        <x:v>1</x:v>
      </x:c>
      <x:c r="N5" s="2"/>
    </x:row>
    <x:row r="6" ht="28" customHeight="1">
      <x:c r="A6" s="3" t="str">
        <x:v>Входящих позиций</x:v>
      </x:c>
      <x:c r="B6" s="23" t="n">
        <x:f>'Допущения'!B5*B5*'Допущения'!B9</x:f>
        <x:v>4500</x:v>
      </x:c>
      <x:c r="C6" s="8" t="n">
        <x:f>'Допущения'!B5*C5*'Допущения'!B9</x:f>
        <x:v>4500</x:v>
      </x:c>
      <x:c r="D6" s="8" t="n">
        <x:f>'Допущения'!B5*D5*'Допущения'!B9</x:f>
        <x:v>4500</x:v>
      </x:c>
      <x:c r="E6" s="20" t="n">
        <x:f>'Допущения'!B5*E5*'Допущения'!B9</x:f>
        <x:v>4500</x:v>
      </x:c>
      <x:c r="F6" s="20" t="n">
        <x:f>'Допущения'!B5*F5*'Допущения'!B9</x:f>
        <x:v>4500</x:v>
      </x:c>
      <x:c r="G6" s="20" t="n">
        <x:f>'Допущения'!B5*G5*'Допущения'!B9</x:f>
        <x:v>4500</x:v>
      </x:c>
      <x:c r="H6" s="20" t="n">
        <x:f>'Допущения'!B5*H5*'Допущения'!B9</x:f>
        <x:v>4500</x:v>
      </x:c>
      <x:c r="I6" s="20" t="n">
        <x:f>'Допущения'!B5*I5*'Допущения'!B9</x:f>
        <x:v>4500</x:v>
      </x:c>
      <x:c r="J6" s="20" t="n">
        <x:f>'Допущения'!B5*J5*'Допущения'!B9</x:f>
        <x:v>4500</x:v>
      </x:c>
      <x:c r="K6" s="20" t="n">
        <x:f>'Допущения'!B5*K5*'Допущения'!B9</x:f>
        <x:v>4500</x:v>
      </x:c>
      <x:c r="L6" s="20" t="n">
        <x:f>'Допущения'!B5*L5*'Допущения'!B9</x:f>
        <x:v>4500</x:v>
      </x:c>
      <x:c r="M6" s="20" t="n">
        <x:f>'Допущения'!B5*M5*'Допущения'!B9</x:f>
        <x:v>4500</x:v>
      </x:c>
      <x:c r="N6" s="20" t="n">
        <x:f>SUM(B6:M6)</x:f>
        <x:v>54000</x:v>
      </x:c>
    </x:row>
    <x:row r="7" ht="28" customHeight="1">
      <x:c r="A7" s="3" t="str">
        <x:v>Выкупленных позиций</x:v>
      </x:c>
      <x:c r="B7" s="23" t="n">
        <x:f>B6*'Допущения'!B6</x:f>
        <x:v>2925</x:v>
      </x:c>
      <x:c r="C7" s="8" t="n">
        <x:f>C6*'Допущения'!B6</x:f>
        <x:v>2925</x:v>
      </x:c>
      <x:c r="D7" s="8" t="n">
        <x:f>D6*'Допущения'!B6</x:f>
        <x:v>2925</x:v>
      </x:c>
      <x:c r="E7" s="20" t="n">
        <x:f>E6*'Допущения'!B6</x:f>
        <x:v>2925</x:v>
      </x:c>
      <x:c r="F7" s="20" t="n">
        <x:f>F6*'Допущения'!B6</x:f>
        <x:v>2925</x:v>
      </x:c>
      <x:c r="G7" s="20" t="n">
        <x:f>G6*'Допущения'!B6</x:f>
        <x:v>2925</x:v>
      </x:c>
      <x:c r="H7" s="20" t="n">
        <x:f>H6*'Допущения'!B6</x:f>
        <x:v>2925</x:v>
      </x:c>
      <x:c r="I7" s="20" t="n">
        <x:f>I6*'Допущения'!B6</x:f>
        <x:v>2925</x:v>
      </x:c>
      <x:c r="J7" s="20" t="n">
        <x:f>J6*'Допущения'!B6</x:f>
        <x:v>2925</x:v>
      </x:c>
      <x:c r="K7" s="20" t="n">
        <x:f>K6*'Допущения'!B6</x:f>
        <x:v>2925</x:v>
      </x:c>
      <x:c r="L7" s="20" t="n">
        <x:f>L6*'Допущения'!B6</x:f>
        <x:v>2925</x:v>
      </x:c>
      <x:c r="M7" s="20" t="n">
        <x:f>M6*'Допущения'!B6</x:f>
        <x:v>2925</x:v>
      </x:c>
      <x:c r="N7" s="20" t="n">
        <x:f>SUM(B7:M7)</x:f>
        <x:v>35100</x:v>
      </x:c>
    </x:row>
    <x:row r="8" ht="28" customHeight="1">
      <x:c r="A8" s="3" t="str">
        <x:v>Вознаграждение, ₸</x:v>
      </x:c>
      <x:c r="B8" s="23" t="n">
        <x:f>B7*'Допущения'!B7*'Допущения'!B8</x:f>
        <x:v>1608750</x:v>
      </x:c>
      <x:c r="C8" s="8" t="n">
        <x:f>C7*'Допущения'!B7*'Допущения'!B8</x:f>
        <x:v>1608750</x:v>
      </x:c>
      <x:c r="D8" s="8" t="n">
        <x:f>D7*'Допущения'!B7*'Допущения'!B8</x:f>
        <x:v>1608750</x:v>
      </x:c>
      <x:c r="E8" s="20" t="n">
        <x:f>E7*'Допущения'!B7*'Допущения'!B8</x:f>
        <x:v>1608750</x:v>
      </x:c>
      <x:c r="F8" s="20" t="n">
        <x:f>F7*'Допущения'!B7*'Допущения'!B8</x:f>
        <x:v>1608750</x:v>
      </x:c>
      <x:c r="G8" s="20" t="n">
        <x:f>G7*'Допущения'!B7*'Допущения'!B8</x:f>
        <x:v>1608750</x:v>
      </x:c>
      <x:c r="H8" s="20" t="n">
        <x:f>H7*'Допущения'!B7*'Допущения'!B8</x:f>
        <x:v>1608750</x:v>
      </x:c>
      <x:c r="I8" s="20" t="n">
        <x:f>I7*'Допущения'!B7*'Допущения'!B8</x:f>
        <x:v>1608750</x:v>
      </x:c>
      <x:c r="J8" s="20" t="n">
        <x:f>J7*'Допущения'!B7*'Допущения'!B8</x:f>
        <x:v>1608750</x:v>
      </x:c>
      <x:c r="K8" s="20" t="n">
        <x:f>K7*'Допущения'!B7*'Допущения'!B8</x:f>
        <x:v>1608750</x:v>
      </x:c>
      <x:c r="L8" s="20" t="n">
        <x:f>L7*'Допущения'!B7*'Допущения'!B8</x:f>
        <x:v>1608750</x:v>
      </x:c>
      <x:c r="M8" s="20" t="n">
        <x:f>M7*'Допущения'!B7*'Допущения'!B8</x:f>
        <x:v>1608750</x:v>
      </x:c>
      <x:c r="N8" s="20" t="n">
        <x:f>SUM(B8:M8)</x:f>
        <x:v>19305000</x:v>
      </x:c>
    </x:row>
    <x:row r="9" ht="28" customHeight="1">
      <x:c r="A9" s="3" t="str">
        <x:v>Расходы начисленные, ₸</x:v>
      </x:c>
      <x:c r="B9" s="23" t="n">
        <x:f>'Модель'!B16</x:f>
        <x:v>1160000</x:v>
      </x:c>
      <x:c r="C9" s="8" t="n">
        <x:f>'Модель'!B16</x:f>
        <x:v>1160000</x:v>
      </x:c>
      <x:c r="D9" s="8" t="n">
        <x:f>'Модель'!B16</x:f>
        <x:v>1160000</x:v>
      </x:c>
      <x:c r="E9" s="20" t="n">
        <x:f>'Модель'!B16</x:f>
        <x:v>1160000</x:v>
      </x:c>
      <x:c r="F9" s="20" t="n">
        <x:f>'Модель'!B16</x:f>
        <x:v>1160000</x:v>
      </x:c>
      <x:c r="G9" s="20" t="n">
        <x:f>'Модель'!B16</x:f>
        <x:v>1160000</x:v>
      </x:c>
      <x:c r="H9" s="20" t="n">
        <x:f>'Модель'!B16</x:f>
        <x:v>1160000</x:v>
      </x:c>
      <x:c r="I9" s="20" t="n">
        <x:f>'Модель'!B16</x:f>
        <x:v>1160000</x:v>
      </x:c>
      <x:c r="J9" s="20" t="n">
        <x:f>'Модель'!B16</x:f>
        <x:v>1160000</x:v>
      </x:c>
      <x:c r="K9" s="20" t="n">
        <x:f>'Модель'!B16</x:f>
        <x:v>1160000</x:v>
      </x:c>
      <x:c r="L9" s="20" t="n">
        <x:f>'Модель'!B16</x:f>
        <x:v>1160000</x:v>
      </x:c>
      <x:c r="M9" s="20" t="n">
        <x:f>'Модель'!B16</x:f>
        <x:v>1160000</x:v>
      </x:c>
      <x:c r="N9" s="20" t="n">
        <x:f>SUM(B9:M9)</x:f>
        <x:v>13920000</x:v>
      </x:c>
    </x:row>
    <x:row r="10" ht="28" customHeight="1">
      <x:c r="A10" s="3" t="str">
        <x:v>До условного налога, ₸</x:v>
      </x:c>
      <x:c r="B10" s="8" t="n">
        <x:f>B8-B9</x:f>
        <x:v>448750</x:v>
      </x:c>
      <x:c r="C10" s="8" t="n">
        <x:f>C8-C9</x:f>
        <x:v>448750</x:v>
      </x:c>
      <x:c r="D10" s="8" t="n">
        <x:f>D8-D9</x:f>
        <x:v>448750</x:v>
      </x:c>
      <x:c r="E10" s="20" t="n">
        <x:f>E8-E9</x:f>
        <x:v>448750</x:v>
      </x:c>
      <x:c r="F10" s="20" t="n">
        <x:f>F8-F9</x:f>
        <x:v>448750</x:v>
      </x:c>
      <x:c r="G10" s="20" t="n">
        <x:f>G8-G9</x:f>
        <x:v>448750</x:v>
      </x:c>
      <x:c r="H10" s="20" t="n">
        <x:f>H8-H9</x:f>
        <x:v>448750</x:v>
      </x:c>
      <x:c r="I10" s="20" t="n">
        <x:f>I8-I9</x:f>
        <x:v>448750</x:v>
      </x:c>
      <x:c r="J10" s="20" t="n">
        <x:f>J8-J9</x:f>
        <x:v>448750</x:v>
      </x:c>
      <x:c r="K10" s="20" t="n">
        <x:f>K8-K9</x:f>
        <x:v>448750</x:v>
      </x:c>
      <x:c r="L10" s="20" t="n">
        <x:f>L8-L9</x:f>
        <x:v>448750</x:v>
      </x:c>
      <x:c r="M10" s="20" t="n">
        <x:f>M8-M9</x:f>
        <x:v>448750</x:v>
      </x:c>
      <x:c r="N10" s="20" t="n">
        <x:f>SUM(B10:M10)</x:f>
        <x:v>5385000</x:v>
      </x:c>
    </x:row>
    <x:row r="11" ht="28" customHeight="1">
      <x:c r="A11" s="3" t="str">
        <x:v>Условный налог, ₸</x:v>
      </x:c>
      <x:c r="B11" s="23" t="n">
        <x:f>MAX(0,B10)*'Допущения'!B18</x:f>
        <x:v>44875</x:v>
      </x:c>
      <x:c r="C11" s="8" t="n">
        <x:f>MAX(0,C10)*'Допущения'!B18</x:f>
        <x:v>44875</x:v>
      </x:c>
      <x:c r="D11" s="8" t="n">
        <x:f>MAX(0,D10)*'Допущения'!B18</x:f>
        <x:v>44875</x:v>
      </x:c>
      <x:c r="E11" s="20" t="n">
        <x:f>MAX(0,E10)*'Допущения'!B18</x:f>
        <x:v>44875</x:v>
      </x:c>
      <x:c r="F11" s="20" t="n">
        <x:f>MAX(0,F10)*'Допущения'!B18</x:f>
        <x:v>44875</x:v>
      </x:c>
      <x:c r="G11" s="20" t="n">
        <x:f>MAX(0,G10)*'Допущения'!B18</x:f>
        <x:v>44875</x:v>
      </x:c>
      <x:c r="H11" s="20" t="n">
        <x:f>MAX(0,H10)*'Допущения'!B18</x:f>
        <x:v>44875</x:v>
      </x:c>
      <x:c r="I11" s="20" t="n">
        <x:f>MAX(0,I10)*'Допущения'!B18</x:f>
        <x:v>44875</x:v>
      </x:c>
      <x:c r="J11" s="20" t="n">
        <x:f>MAX(0,J10)*'Допущения'!B18</x:f>
        <x:v>44875</x:v>
      </x:c>
      <x:c r="K11" s="20" t="n">
        <x:f>MAX(0,K10)*'Допущения'!B18</x:f>
        <x:v>44875</x:v>
      </x:c>
      <x:c r="L11" s="20" t="n">
        <x:f>MAX(0,L10)*'Допущения'!B18</x:f>
        <x:v>44875</x:v>
      </x:c>
      <x:c r="M11" s="20" t="n">
        <x:f>MAX(0,M10)*'Допущения'!B18</x:f>
        <x:v>44875</x:v>
      </x:c>
      <x:c r="N11" s="20" t="n">
        <x:f>SUM(B11:M11)</x:f>
        <x:v>538500</x:v>
      </x:c>
    </x:row>
    <x:row r="12" ht="28" customHeight="1">
      <x:c r="A12" s="3" t="str">
        <x:v>После условного налога, ₸</x:v>
      </x:c>
      <x:c r="B12" s="8" t="n">
        <x:f>B10-B11</x:f>
        <x:v>403875</x:v>
      </x:c>
      <x:c r="C12" s="8" t="n">
        <x:f>C10-C11</x:f>
        <x:v>403875</x:v>
      </x:c>
      <x:c r="D12" s="8" t="n">
        <x:f>D10-D11</x:f>
        <x:v>403875</x:v>
      </x:c>
      <x:c r="E12" s="20" t="n">
        <x:f>E10-E11</x:f>
        <x:v>403875</x:v>
      </x:c>
      <x:c r="F12" s="20" t="n">
        <x:f>F10-F11</x:f>
        <x:v>403875</x:v>
      </x:c>
      <x:c r="G12" s="20" t="n">
        <x:f>G10-G11</x:f>
        <x:v>403875</x:v>
      </x:c>
      <x:c r="H12" s="20" t="n">
        <x:f>H10-H11</x:f>
        <x:v>403875</x:v>
      </x:c>
      <x:c r="I12" s="20" t="n">
        <x:f>I10-I11</x:f>
        <x:v>403875</x:v>
      </x:c>
      <x:c r="J12" s="20" t="n">
        <x:f>J10-J11</x:f>
        <x:v>403875</x:v>
      </x:c>
      <x:c r="K12" s="20" t="n">
        <x:f>K10-K11</x:f>
        <x:v>403875</x:v>
      </x:c>
      <x:c r="L12" s="20" t="n">
        <x:f>L10-L11</x:f>
        <x:v>403875</x:v>
      </x:c>
      <x:c r="M12" s="20" t="n">
        <x:f>M10-M11</x:f>
        <x:v>403875</x:v>
      </x:c>
      <x:c r="N12" s="20" t="n">
        <x:f>SUM(B12:M12)</x:f>
        <x:v>4846500</x:v>
      </x:c>
    </x:row>
    <x:row r="13" ht="28" customHeight="1">
      <x:c r="A13" s="3" t="str">
        <x:v>Зачёт предоплаты аренды, ₸</x:v>
      </x:c>
      <x:c r="B13" s="23" t="n">
        <x:f>MIN(1,MAX(0,'Допущения'!B26-0))*'Модель'!B12</x:f>
        <x:v>360000</x:v>
      </x:c>
      <x:c r="C13" s="8" t="n">
        <x:f>MIN(1,MAX(0,'Допущения'!B26-1))*'Модель'!B12</x:f>
        <x:v>360000</x:v>
      </x:c>
      <x:c r="D13" s="8" t="n">
        <x:f>MIN(1,MAX(0,'Допущения'!B26-2))*'Модель'!B12</x:f>
        <x:v>0</x:v>
      </x:c>
      <x:c r="E13" s="20" t="n">
        <x:f>MIN(1,MAX(0,'Допущения'!B26-3))*'Модель'!B12</x:f>
        <x:v>0</x:v>
      </x:c>
      <x:c r="F13" s="20" t="n">
        <x:f>MIN(1,MAX(0,'Допущения'!B26-4))*'Модель'!B12</x:f>
        <x:v>0</x:v>
      </x:c>
      <x:c r="G13" s="20" t="n">
        <x:f>MIN(1,MAX(0,'Допущения'!B26-5))*'Модель'!B12</x:f>
        <x:v>0</x:v>
      </x:c>
      <x:c r="H13" s="20" t="n">
        <x:f>MIN(1,MAX(0,'Допущения'!B26-6))*'Модель'!B12</x:f>
        <x:v>0</x:v>
      </x:c>
      <x:c r="I13" s="20" t="n">
        <x:f>MIN(1,MAX(0,'Допущения'!B26-7))*'Модель'!B12</x:f>
        <x:v>0</x:v>
      </x:c>
      <x:c r="J13" s="20" t="n">
        <x:f>MIN(1,MAX(0,'Допущения'!B26-8))*'Модель'!B12</x:f>
        <x:v>0</x:v>
      </x:c>
      <x:c r="K13" s="20" t="n">
        <x:f>MIN(1,MAX(0,'Допущения'!B26-9))*'Модель'!B12</x:f>
        <x:v>0</x:v>
      </x:c>
      <x:c r="L13" s="20" t="n">
        <x:f>MIN(1,MAX(0,'Допущения'!B26-10))*'Модель'!B12</x:f>
        <x:v>0</x:v>
      </x:c>
      <x:c r="M13" s="20" t="n">
        <x:f>MIN(1,MAX(0,'Допущения'!B26-11))*'Модель'!B12</x:f>
        <x:v>0</x:v>
      </x:c>
      <x:c r="N13" s="20" t="n">
        <x:f>SUM(B13:M13)</x:f>
        <x:v>720000</x:v>
      </x:c>
    </x:row>
    <x:row r="14" ht="28" customHeight="1">
      <x:c r="A14" s="3" t="str">
        <x:v>Денежный поток, ₸</x:v>
      </x:c>
      <x:c r="B14" s="8" t="n">
        <x:f>B12+B13</x:f>
        <x:v>763875</x:v>
      </x:c>
      <x:c r="C14" s="8" t="n">
        <x:f>C12+C13</x:f>
        <x:v>763875</x:v>
      </x:c>
      <x:c r="D14" s="8" t="n">
        <x:f>D12+D13</x:f>
        <x:v>403875</x:v>
      </x:c>
      <x:c r="E14" s="20" t="n">
        <x:f>E12+E13</x:f>
        <x:v>403875</x:v>
      </x:c>
      <x:c r="F14" s="20" t="n">
        <x:f>F12+F13</x:f>
        <x:v>403875</x:v>
      </x:c>
      <x:c r="G14" s="20" t="n">
        <x:f>G12+G13</x:f>
        <x:v>403875</x:v>
      </x:c>
      <x:c r="H14" s="20" t="n">
        <x:f>H12+H13</x:f>
        <x:v>403875</x:v>
      </x:c>
      <x:c r="I14" s="20" t="n">
        <x:f>I12+I13</x:f>
        <x:v>403875</x:v>
      </x:c>
      <x:c r="J14" s="20" t="n">
        <x:f>J12+J13</x:f>
        <x:v>403875</x:v>
      </x:c>
      <x:c r="K14" s="20" t="n">
        <x:f>K12+K13</x:f>
        <x:v>403875</x:v>
      </x:c>
      <x:c r="L14" s="20" t="n">
        <x:f>L12+L13</x:f>
        <x:v>403875</x:v>
      </x:c>
      <x:c r="M14" s="20" t="n">
        <x:f>M12+M13</x:f>
        <x:v>403875</x:v>
      </x:c>
      <x:c r="N14" s="20" t="n">
        <x:f>SUM(B14:M14)</x:f>
        <x:v>5566500</x:v>
      </x:c>
    </x:row>
    <x:row r="15" ht="28" customHeight="1">
      <x:c r="A15" s="3" t="str">
        <x:v>Деньги на начало, ₸</x:v>
      </x:c>
      <x:c r="B15" s="23" t="n">
        <x:f>'Модель'!B25</x:f>
        <x:v>1700000</x:v>
      </x:c>
      <x:c r="C15" s="8" t="n">
        <x:f>B17</x:f>
        <x:v>2463875</x:v>
      </x:c>
      <x:c r="D15" s="8" t="n">
        <x:f>C17</x:f>
        <x:v>3227750</x:v>
      </x:c>
      <x:c r="E15" s="20" t="n">
        <x:f>D17</x:f>
        <x:v>3631625</x:v>
      </x:c>
      <x:c r="F15" s="20" t="n">
        <x:f>E17</x:f>
        <x:v>4035500</x:v>
      </x:c>
      <x:c r="G15" s="20" t="n">
        <x:f>F17</x:f>
        <x:v>4439375</x:v>
      </x:c>
      <x:c r="H15" s="20" t="n">
        <x:f>G17</x:f>
        <x:v>4843250</x:v>
      </x:c>
      <x:c r="I15" s="20" t="n">
        <x:f>H17</x:f>
        <x:v>5247125</x:v>
      </x:c>
      <x:c r="J15" s="20" t="n">
        <x:f>I17</x:f>
        <x:v>5651000</x:v>
      </x:c>
      <x:c r="K15" s="20" t="n">
        <x:f>J17</x:f>
        <x:v>6054875</x:v>
      </x:c>
      <x:c r="L15" s="20" t="n">
        <x:f>K17</x:f>
        <x:v>6458750</x:v>
      </x:c>
      <x:c r="M15" s="20" t="n">
        <x:f>L17</x:f>
        <x:v>6862625</x:v>
      </x:c>
      <x:c r="N15" s="20"/>
    </x:row>
    <x:row r="16" ht="28" customHeight="1">
      <x:c r="A16" s="3" t="str">
        <x:v>Нужно довнести, ₸</x:v>
      </x:c>
      <x:c r="B16" s="8" t="n">
        <x:f>MAX(0,-(B15+B14))</x:f>
        <x:v>0</x:v>
      </x:c>
      <x:c r="C16" s="8" t="n">
        <x:f>MAX(0,-(C15+C14))</x:f>
        <x:v>0</x:v>
      </x:c>
      <x:c r="D16" s="8" t="n">
        <x:f>MAX(0,-(D15+D14))</x:f>
        <x:v>0</x:v>
      </x:c>
      <x:c r="E16" s="20" t="n">
        <x:f>MAX(0,-(E15+E14))</x:f>
        <x:v>0</x:v>
      </x:c>
      <x:c r="F16" s="20" t="n">
        <x:f>MAX(0,-(F15+F14))</x:f>
        <x:v>0</x:v>
      </x:c>
      <x:c r="G16" s="20" t="n">
        <x:f>MAX(0,-(G15+G14))</x:f>
        <x:v>0</x:v>
      </x:c>
      <x:c r="H16" s="20" t="n">
        <x:f>MAX(0,-(H15+H14))</x:f>
        <x:v>0</x:v>
      </x:c>
      <x:c r="I16" s="20" t="n">
        <x:f>MAX(0,-(I15+I14))</x:f>
        <x:v>0</x:v>
      </x:c>
      <x:c r="J16" s="20" t="n">
        <x:f>MAX(0,-(J15+J14))</x:f>
        <x:v>0</x:v>
      </x:c>
      <x:c r="K16" s="20" t="n">
        <x:f>MAX(0,-(K15+K14))</x:f>
        <x:v>0</x:v>
      </x:c>
      <x:c r="L16" s="20" t="n">
        <x:f>MAX(0,-(L15+L14))</x:f>
        <x:v>0</x:v>
      </x:c>
      <x:c r="M16" s="20" t="n">
        <x:f>MAX(0,-(M15+M14))</x:f>
        <x:v>0</x:v>
      </x:c>
      <x:c r="N16" s="20" t="n">
        <x:f>SUM(B16:M16)</x:f>
        <x:v>0</x:v>
      </x:c>
    </x:row>
    <x:row r="17" ht="28" customHeight="1">
      <x:c r="A17" s="3" t="str">
        <x:v>Деньги на конец, ₸</x:v>
      </x:c>
      <x:c r="B17" s="8" t="n">
        <x:f>B15+B14+B16</x:f>
        <x:v>2463875</x:v>
      </x:c>
      <x:c r="C17" s="8" t="n">
        <x:f>C15+C14+C16</x:f>
        <x:v>3227750</x:v>
      </x:c>
      <x:c r="D17" s="8" t="n">
        <x:f>D15+D14+D16</x:f>
        <x:v>3631625</x:v>
      </x:c>
      <x:c r="E17" s="20" t="n">
        <x:f>E15+E14+E16</x:f>
        <x:v>4035500</x:v>
      </x:c>
      <x:c r="F17" s="20" t="n">
        <x:f>F15+F14+F16</x:f>
        <x:v>4439375</x:v>
      </x:c>
      <x:c r="G17" s="20" t="n">
        <x:f>G15+G14+G16</x:f>
        <x:v>4843250</x:v>
      </x:c>
      <x:c r="H17" s="20" t="n">
        <x:f>H15+H14+H16</x:f>
        <x:v>5247125</x:v>
      </x:c>
      <x:c r="I17" s="20" t="n">
        <x:f>I15+I14+I16</x:f>
        <x:v>5651000</x:v>
      </x:c>
      <x:c r="J17" s="20" t="n">
        <x:f>J15+J14+J16</x:f>
        <x:v>6054875</x:v>
      </x:c>
      <x:c r="K17" s="20" t="n">
        <x:f>K15+K14+K16</x:f>
        <x:v>6458750</x:v>
      </x:c>
      <x:c r="L17" s="20" t="n">
        <x:f>L15+L14+L16</x:f>
        <x:v>6862625</x:v>
      </x:c>
      <x:c r="M17" s="20" t="n">
        <x:f>M15+M14+M16</x:f>
        <x:v>7266500</x:v>
      </x:c>
      <x:c r="N17" s="20" t="n">
        <x:f>M17</x:f>
        <x:v>7266500</x:v>
      </x:c>
    </x:row>
    <x:row r="18" ht="28" customHeight="1">
      <x:c r="A18" s="3"/>
      <x:c r="B18" s="8"/>
      <x:c r="C18" s="3"/>
      <x:c r="D18" s="3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8" customHeight="1">
      <x:c r="A19" s="3"/>
      <x:c r="B19" s="8"/>
      <x:c r="C19" s="3"/>
      <x:c r="D19" s="3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8" customHeight="1">
      <x:c r="A20" s="3" t="str">
        <x:v>Нет задержек выплат, новых вложений и изъятий владельца. Предоплата аренды не оплачивается второй раз.</x:v>
      </x:c>
      <x:c r="B20" s="8"/>
      <x:c r="C20" s="3"/>
      <x:c r="D20" s="3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</x:sheetData>
  <x:mergeCells>
    <x:mergeCell ref="A20:N21"/>
  </x:mergeCells>
  <x:conditionalFormatting sqref="B12:M12">
    <x:cfRule type="cellIs" dxfId="1" priority="1" operator="lessThan">
      <x:formula>0</x:formula>
    </x:cfRule>
  </x:conditionalFormatting>
  <x:pageMargins left="0.7" right="0.7" top="0.75" bottom="0.75" header="0.3" footer="0.3"/>
</x:worksheet>
</file>