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мментарии" sheetId="1" state="visible" r:id="rId3"/>
    <sheet name="Допущения" sheetId="2" state="visible" r:id="rId4"/>
    <sheet name="Модель" sheetId="3" state="visible" r:id="rId5"/>
    <sheet name="Безубыток" sheetId="4" state="visible" r:id="rId6"/>
    <sheet name="Рычаги" sheetId="5" state="visible" r:id="rId7"/>
    <sheet name="Медленная станция" sheetId="6" state="visible" r:id="rId8"/>
    <sheet name="Год" sheetId="7" state="visible" r:id="rId9"/>
    <sheet name="Дашборд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<sst xmlns="http://schemas.openxmlformats.org/spreadsheetml/2006/main" count="566" uniqueCount="434">
  <si>
    <t xml:space="preserve">КАК ЧИТАТЬ ЭТУ МОДЕЛЬ</t>
  </si>
  <si>
    <t xml:space="preserve">Inside Numbers · разбор экономики быстрой зарядной станции</t>
  </si>
  <si>
    <t xml:space="preserve">ПОРЯДОК РАБОТЫ</t>
  </si>
  <si>
    <t xml:space="preserve">1. Откройте лист «Допущения» и замените жёлтые ячейки своими цифрами: мощность, тариф, загрузку, смету.</t>
  </si>
  <si>
    <t xml:space="preserve">2. Все остальные листы пересчитаются сами.</t>
  </si>
  <si>
    <t xml:space="preserve">3. Главный результат - лист «Безубыток»: какая загрузка и сколько машин в день нужны, чтобы выйти в ноль и окупиться.</t>
  </si>
  <si>
    <t xml:space="preserve">4. Лист «Рычаги» - что даёт кафе, абонемент, флот, экран, место. Лист «Медленная станция» - почему дешёвая AC-зарядка не спасает.</t>
  </si>
  <si>
    <t xml:space="preserve">5. Лист «Дашборд» - то, что стоит проверять каждый месяц, когда станция уже работает.</t>
  </si>
  <si>
    <t xml:space="preserve">ОБОЗНАЧЕНИЯ</t>
  </si>
  <si>
    <t xml:space="preserve">Жёлтая заливка и синий шрифт - ячейки, которые нужно заполнить своими данными.</t>
  </si>
  <si>
    <t xml:space="preserve">Чёрный шрифт - расчётная ячейка с формулой. Не трогайте.</t>
  </si>
  <si>
    <t xml:space="preserve">Колонка «Комментарий / источник» на листе «Допущения» объясняет каждую цифру.</t>
  </si>
  <si>
    <t xml:space="preserve">Колонка «Как считается» на листе «Модель» объясняет каждую формулу.</t>
  </si>
  <si>
    <t xml:space="preserve">ЧТО ВАЖНО ПОНИМАТЬ ПРО ЭТУ МОДЕЛЬ</t>
  </si>
  <si>
    <t xml:space="preserve">Вы продаёте не электричество, а скорость. Наценка в Казахстане около 2× против 3,5-6,5× в США:</t>
  </si>
  <si>
    <t xml:space="preserve">дешёвый свет в стране убивает бизнес на перепродаже света.</t>
  </si>
  <si>
    <t xml:space="preserve">Всё решает утилизация - доля времени, когда станция реально отдаёт энергию. Постоянные расходы</t>
  </si>
  <si>
    <t xml:space="preserve">не зависят от загрузки, поэтому рост загрузки в 4 раза даёт рост денежного потока в десятки раз.</t>
  </si>
  <si>
    <t xml:space="preserve">Главный конкурент - домашняя розетка по 23-28 ₸ за кВт·ч. Ваш рынок - трасса, люди без своей парковки</t>
  </si>
  <si>
    <t xml:space="preserve">и те, кто не рассчитал заряд, а не весь парк электромобилей.</t>
  </si>
  <si>
    <t xml:space="preserve">Оборудование - меньше половины сметы. Точную стоимость техприсоединения вы узнаёте только после техусловий,</t>
  </si>
  <si>
    <t xml:space="preserve">а задержка запуска стоит денег, которых нет в смете (лист «Безубыток», строки 13-16).</t>
  </si>
  <si>
    <t xml:space="preserve">ЧЕГО В МОДЕЛИ НЕТ</t>
  </si>
  <si>
    <t xml:space="preserve">Ушедших клиентов. Каждая поломка - отметка в приложении, и часть водителей не вернётся даже после ремонта.</t>
  </si>
  <si>
    <t xml:space="preserve">Роста парка. Модель считает текущий рынок. С 2026 года ЕЭК не продлила квоту на беспошлинный ввоз электромобилей -</t>
  </si>
  <si>
    <t xml:space="preserve">рост может замедлиться ровно тогда, когда вы запуститесь.</t>
  </si>
  <si>
    <t xml:space="preserve">Кредита и процентов по нему. Если строите на заёмные - добавьте платежи отдельной строкой на листе «Модель».</t>
  </si>
  <si>
    <t xml:space="preserve">ОГОВОРКА</t>
  </si>
  <si>
    <t xml:space="preserve">Модель носит образовательный характер и не является финансовой или инвестиционной рекомендацией.</t>
  </si>
  <si>
    <t xml:space="preserve">Расчёты приведены для типового сценария; фактические показатели зависят от локации, мощности, тарифа</t>
  </si>
  <si>
    <t xml:space="preserve">и условий техприсоединения конкретного проекта. Налоговый режим и ставку уточните у бухгалтера.</t>
  </si>
  <si>
    <t xml:space="preserve">Разбор этой модели на видео: youtube.com/@insidenumbers</t>
  </si>
  <si>
    <t xml:space="preserve">Автоматизация управленческого учёта: finflow.kz</t>
  </si>
  <si>
    <t xml:space="preserve">ДОПУЩЕНИЯ МОДЕЛИ - БЫСТРАЯ ЗАРЯДНАЯ СТАНЦИЯ, КАЗАХСТАН 2026</t>
  </si>
  <si>
    <t xml:space="preserve">Жёлтые ячейки - вводные, их можно менять. Все остальные листы пересчитаются автоматически.</t>
  </si>
  <si>
    <t xml:space="preserve">Показатель</t>
  </si>
  <si>
    <t xml:space="preserve">Значение</t>
  </si>
  <si>
    <t xml:space="preserve">Ед.</t>
  </si>
  <si>
    <t xml:space="preserve">Комментарий / источник</t>
  </si>
  <si>
    <t xml:space="preserve">1. СТАНЦИЯ И ЗАГРУЗКА</t>
  </si>
  <si>
    <t xml:space="preserve">Мощность станции</t>
  </si>
  <si>
    <t xml:space="preserve">кВт</t>
  </si>
  <si>
    <t xml:space="preserve">Быстрая DC-станция, 2 порта. Рабочий формат для города и трассы: 30-40 минут на машину.</t>
  </si>
  <si>
    <t xml:space="preserve">Количество портов</t>
  </si>
  <si>
    <t xml:space="preserve">шт</t>
  </si>
  <si>
    <t xml:space="preserve">Две машины одновременно. Влияет на подписку за софт (она берётся за порт).</t>
  </si>
  <si>
    <t xml:space="preserve">Утилизация (загрузка)</t>
  </si>
  <si>
    <t xml:space="preserve">%</t>
  </si>
  <si>
    <t xml:space="preserve">КЛЮЧЕВОЙ РЫЧАГ. Доля времени, которую станция реально отдаёт энергию на номинальной мощности. Средняя по быстрым зарядкам США во 2 кв. 2026 - 15,76% (Paren). Здоровая экономика начинается от 30%.</t>
  </si>
  <si>
    <t xml:space="preserve">Энергии за одну сессию</t>
  </si>
  <si>
    <t xml:space="preserve">кВт·ч</t>
  </si>
  <si>
    <t xml:space="preserve">Сколько в среднем берёт одна машина. 20 кВт·ч - это 100-130 км запаса. Нужно, чтобы перевести загрузку в машины в день.</t>
  </si>
  <si>
    <t xml:space="preserve">Часов работы в сутки</t>
  </si>
  <si>
    <t xml:space="preserve">ч</t>
  </si>
  <si>
    <t xml:space="preserve">Станция работает круглосуточно. Если площадка закрывается на ночь - уменьшите.</t>
  </si>
  <si>
    <t xml:space="preserve">Дней в месяце</t>
  </si>
  <si>
    <t xml:space="preserve">дн</t>
  </si>
  <si>
    <t xml:space="preserve">Без выходных.</t>
  </si>
  <si>
    <t xml:space="preserve">2. ЦЕНЫ И ЭНЕРГИЯ</t>
  </si>
  <si>
    <t xml:space="preserve">Цена для клиента за кВт·ч</t>
  </si>
  <si>
    <t xml:space="preserve">₸</t>
  </si>
  <si>
    <t xml:space="preserve">Публичные станции в Казахстане: от 60 ₸ при 60 кВт, от 80 ₸ при 120 кВт, от 100 ₸ при 240 кВт.</t>
  </si>
  <si>
    <t xml:space="preserve">Закупка электроэнергии без НДС</t>
  </si>
  <si>
    <t xml:space="preserve">₸/кВт·ч</t>
  </si>
  <si>
    <t xml:space="preserve">Тариф для юридического лица. С НДС около 41 ₸. Проверьте тариф своего энергоснабжающего региона.</t>
  </si>
  <si>
    <t xml:space="preserve">НДС в цене закупки</t>
  </si>
  <si>
    <t xml:space="preserve">Если вы не плательщик НДС, этот НДС - ваш расход, зачесть его нельзя.</t>
  </si>
  <si>
    <t xml:space="preserve">Потери при преобразовании энергии</t>
  </si>
  <si>
    <t xml:space="preserve">DC-станция сама превращает переменный ток в постоянный. КПД 94-96%: вы покупаете больше, чем продаёте. В бизнес-планах этой строки обычно нет.</t>
  </si>
  <si>
    <t xml:space="preserve">Доля безналичной оплаты</t>
  </si>
  <si>
    <t xml:space="preserve">Оплата через приложение или терминал - практически 100%.</t>
  </si>
  <si>
    <t xml:space="preserve">Ставка эквайринга</t>
  </si>
  <si>
    <t xml:space="preserve">1-1,5% по картам для юрлиц, от 0,5% по QR.</t>
  </si>
  <si>
    <t xml:space="preserve">3. НАЛОГИ</t>
  </si>
  <si>
    <t xml:space="preserve">Режим: 1 = упрощёнка, 2 = общий (НДС + КПН)</t>
  </si>
  <si>
    <t xml:space="preserve">код</t>
  </si>
  <si>
    <t xml:space="preserve">По умолчанию упрощёнка: выручка одной станции 12-33 млн ₸ в год. Плательщики упрощёнки не встают на учёт по НДС. Поставьте 2, чтобы посчитать общий режим.</t>
  </si>
  <si>
    <t xml:space="preserve">Ставка налога по упрощёнке</t>
  </si>
  <si>
    <t xml:space="preserve">% выручки</t>
  </si>
  <si>
    <t xml:space="preserve">С 2026 года базовая ставка 4% с дохода. Маслихаты могут менять её в пределах ±50% (от 2% до 6%) - уточните ставку своего региона.</t>
  </si>
  <si>
    <t xml:space="preserve">Ставка НДС (общий режим)</t>
  </si>
  <si>
    <t xml:space="preserve">С 1 января 2026 года - 16%.</t>
  </si>
  <si>
    <t xml:space="preserve">Порог регистрации по НДС</t>
  </si>
  <si>
    <t xml:space="preserve">₸/год</t>
  </si>
  <si>
    <t xml:space="preserve">10 000 МРП. Для общего режима. Одна станция при загрузке до 40% его не достигает.</t>
  </si>
  <si>
    <t xml:space="preserve">Ставка КПН (общий режим)</t>
  </si>
  <si>
    <t xml:space="preserve">Корпоративный подоходный налог с прибыли.</t>
  </si>
  <si>
    <t xml:space="preserve">4. ПОСТОЯННЫЕ РАСХОДЫ В МЕСЯЦ</t>
  </si>
  <si>
    <t xml:space="preserve">Аренда участка / доля владельцу земли</t>
  </si>
  <si>
    <t xml:space="preserve">₸/мес</t>
  </si>
  <si>
    <t xml:space="preserve">2-3 парковочных места у ТРЦ, гостиницы или на трассе. Часто вместо фикса владелец земли берёт процент с выручки.</t>
  </si>
  <si>
    <t xml:space="preserve">Подписка на софт, за один порт</t>
  </si>
  <si>
    <t xml:space="preserve">Платформа, мониторинг, приложение, обработка платежей. Платится за каждый порт каждый месяц, даже если никто не приехал.</t>
  </si>
  <si>
    <t xml:space="preserve">Обслуживание и ремонт</t>
  </si>
  <si>
    <t xml:space="preserve">Коннекторы изнашиваются, кабели рвут, терминал глючит, охлаждение требует сервиса. Зимой чаще.</t>
  </si>
  <si>
    <t xml:space="preserve">Освещение, видеонаблюдение, дежурное потребление</t>
  </si>
  <si>
    <t xml:space="preserve">Навес, камеры, свет и собственное потребление станции в режиме ожидания.</t>
  </si>
  <si>
    <t xml:space="preserve">Связь и интернет</t>
  </si>
  <si>
    <t xml:space="preserve">SIM-карта или канал для связи станции с платформой. Без связи станция не принимает оплату.</t>
  </si>
  <si>
    <t xml:space="preserve">Бухгалтерия и прочее</t>
  </si>
  <si>
    <t xml:space="preserve">Бухгалтерия на аутсорсе, банк, мелкие расходы.</t>
  </si>
  <si>
    <t xml:space="preserve">5. СТАРТОВЫЕ ВЛОЖЕНИЯ</t>
  </si>
  <si>
    <t xml:space="preserve">Оборудование: станция 120 кВт, 2 порта</t>
  </si>
  <si>
    <t xml:space="preserve">Порядок цен поставщиков на соседних рынках для станции такого класса.</t>
  </si>
  <si>
    <t xml:space="preserve">Техприсоединение</t>
  </si>
  <si>
    <t xml:space="preserve">~150 кВА выделенной мощности. Мощность рядом: кабель, ячейка, учёт, проект - 3-5 млн. Своя подстанция - ещё 5-7 млн. Кабель 5-8 тыс/м и траншея 15-25 тыс/м. Реальный разброс 4-15 млн. Точную цифру вы узнаете только после техусловий.</t>
  </si>
  <si>
    <t xml:space="preserve">Площадка: навес, освещение, камеры, разметка</t>
  </si>
  <si>
    <t xml:space="preserve">Проект, разрешения, пусконаладка</t>
  </si>
  <si>
    <t xml:space="preserve">Софт, платёжный модуль, интеграция с приложением</t>
  </si>
  <si>
    <t xml:space="preserve">Резерв на непредвиденное</t>
  </si>
  <si>
    <t xml:space="preserve">Около 10% от сметы. На стройке с сетями он почти всегда уходит.</t>
  </si>
  <si>
    <t xml:space="preserve">Срок амортизации</t>
  </si>
  <si>
    <t xml:space="preserve">лет</t>
  </si>
  <si>
    <t xml:space="preserve">Быстрая станция служит 8-10 лет. Каждый месяц вы тратите часть её стоимости, даже если не замечаете.</t>
  </si>
  <si>
    <t xml:space="preserve">Месяцев от подписания аренды до запуска</t>
  </si>
  <si>
    <t xml:space="preserve">мес</t>
  </si>
  <si>
    <t xml:space="preserve">Проект, согласования, техусловия, стройка сети, пусконаладка. Всё это время аренда идёт, а выручки нет.</t>
  </si>
  <si>
    <t xml:space="preserve">Стоимость денег</t>
  </si>
  <si>
    <t xml:space="preserve">% годовых</t>
  </si>
  <si>
    <t xml:space="preserve">Ставка по кредиту или доходность депозита, от которой вы отказались. Нужна, чтобы оценить цену задержки запуска.</t>
  </si>
  <si>
    <t xml:space="preserve">Желаемый срок окупаемости</t>
  </si>
  <si>
    <t xml:space="preserve">От него считается «порог адекватности» - загрузка, при которой вложения возвращаются за этот срок.</t>
  </si>
  <si>
    <t xml:space="preserve">6. ЗИМА</t>
  </si>
  <si>
    <t xml:space="preserve">Длительность сессии летом</t>
  </si>
  <si>
    <t xml:space="preserve">мин</t>
  </si>
  <si>
    <t xml:space="preserve">Быстрая зарядка 20 кВт·ч занимает 30-40 минут.</t>
  </si>
  <si>
    <t xml:space="preserve">Скорость зарядки зимой, % от летней</t>
  </si>
  <si>
    <t xml:space="preserve">Холодная батарея принимает заряд медленно: сессия растягивается с 30 минут до часа и больше.</t>
  </si>
  <si>
    <t xml:space="preserve">7. СЕЗОННОСТЬ ОТПУЩЕННОЙ ЭНЕРГИИ</t>
  </si>
  <si>
    <t xml:space="preserve">Коэффициент - Январь</t>
  </si>
  <si>
    <t xml:space="preserve">×</t>
  </si>
  <si>
    <t xml:space="preserve">Спрос выше, но каждая машина стоит вдвое дольше - пропускная способность падает</t>
  </si>
  <si>
    <t xml:space="preserve">Коэффициент - Февраль</t>
  </si>
  <si>
    <t xml:space="preserve">Мороз: очередь есть, выручки нет</t>
  </si>
  <si>
    <t xml:space="preserve">Коэффициент - Март</t>
  </si>
  <si>
    <t xml:space="preserve">Выход из зимы, скорость зарядки восстанавливается</t>
  </si>
  <si>
    <t xml:space="preserve">Коэффициент - Апрель</t>
  </si>
  <si>
    <t xml:space="preserve">Нормальный месяц</t>
  </si>
  <si>
    <t xml:space="preserve">Коэффициент - Май</t>
  </si>
  <si>
    <t xml:space="preserve">Тепло, больше поездок</t>
  </si>
  <si>
    <t xml:space="preserve">Коэффициент - Июнь</t>
  </si>
  <si>
    <t xml:space="preserve">Начало сезона поездок по трассам</t>
  </si>
  <si>
    <t xml:space="preserve">Коэффициент - Июль</t>
  </si>
  <si>
    <t xml:space="preserve">Пик: отпуска, трассы, Боровое и Алаколь</t>
  </si>
  <si>
    <t xml:space="preserve">Коэффициент - Август</t>
  </si>
  <si>
    <t xml:space="preserve">Сезон поездок</t>
  </si>
  <si>
    <t xml:space="preserve">Коэффициент - Сентябрь</t>
  </si>
  <si>
    <t xml:space="preserve">Люди вернулись в город</t>
  </si>
  <si>
    <t xml:space="preserve">Коэффициент - Октябрь</t>
  </si>
  <si>
    <t xml:space="preserve">Коэффициент - Ноябрь</t>
  </si>
  <si>
    <t xml:space="preserve">Холодает, зарядка замедляется</t>
  </si>
  <si>
    <t xml:space="preserve">Коэффициент - Декабрь</t>
  </si>
  <si>
    <t xml:space="preserve">Мороз, сессии удлиняются</t>
  </si>
  <si>
    <t xml:space="preserve">ОПЕРАЦИОННАЯ МОДЕЛЬ - 12 МЕСЯЦЕВ</t>
  </si>
  <si>
    <t xml:space="preserve">Все числа - формулы от листа «Допущения». Отпущенная энергия каждого месяца скорректирована на сезонность.</t>
  </si>
  <si>
    <t xml:space="preserve">янв</t>
  </si>
  <si>
    <t xml:space="preserve">фев</t>
  </si>
  <si>
    <t xml:space="preserve">мар</t>
  </si>
  <si>
    <t xml:space="preserve">апр</t>
  </si>
  <si>
    <t xml:space="preserve">май</t>
  </si>
  <si>
    <t xml:space="preserve">июн</t>
  </si>
  <si>
    <t xml:space="preserve">июл</t>
  </si>
  <si>
    <t xml:space="preserve">авг</t>
  </si>
  <si>
    <t xml:space="preserve">сен</t>
  </si>
  <si>
    <t xml:space="preserve">окт</t>
  </si>
  <si>
    <t xml:space="preserve">ноя</t>
  </si>
  <si>
    <t xml:space="preserve">дек</t>
  </si>
  <si>
    <t xml:space="preserve">Итого 12 мес</t>
  </si>
  <si>
    <t xml:space="preserve">Как считается</t>
  </si>
  <si>
    <t xml:space="preserve">ОБЪЁМ</t>
  </si>
  <si>
    <t xml:space="preserve">Коэффициент сезонности</t>
  </si>
  <si>
    <t xml:space="preserve">Допущения, раздел 7</t>
  </si>
  <si>
    <t xml:space="preserve">Отпущено энергии, кВт·ч</t>
  </si>
  <si>
    <t xml:space="preserve">Мощность × часы × дни × загрузка × сезонность</t>
  </si>
  <si>
    <t xml:space="preserve">Зарядных сессий</t>
  </si>
  <si>
    <t xml:space="preserve">Энергия / кВт·ч за сессию</t>
  </si>
  <si>
    <t xml:space="preserve">Машин в день</t>
  </si>
  <si>
    <t xml:space="preserve">Сессии / дни</t>
  </si>
  <si>
    <t xml:space="preserve">Куплено энергии с учётом потерь, кВт·ч</t>
  </si>
  <si>
    <t xml:space="preserve">Отпущено / (1 − потери)</t>
  </si>
  <si>
    <t xml:space="preserve">ВЫРУЧКА, ₸</t>
  </si>
  <si>
    <t xml:space="preserve">ВЫРУЧКА ЗА ЭНЕРГИЮ</t>
  </si>
  <si>
    <t xml:space="preserve">кВт·ч × цена</t>
  </si>
  <si>
    <t xml:space="preserve">ПЕРЕМЕННЫЕ РАСХОДЫ, ₸</t>
  </si>
  <si>
    <t xml:space="preserve">Электроэнергия</t>
  </si>
  <si>
    <t xml:space="preserve">Куплено кВт·ч × закупка с НДС</t>
  </si>
  <si>
    <t xml:space="preserve">Эквайринг</t>
  </si>
  <si>
    <t xml:space="preserve">Выручка × доля безнала × ставка</t>
  </si>
  <si>
    <t xml:space="preserve">Итого переменных</t>
  </si>
  <si>
    <t xml:space="preserve">Сумма</t>
  </si>
  <si>
    <t xml:space="preserve">ВАЛОВАЯ ПРИБЫЛЬ</t>
  </si>
  <si>
    <t xml:space="preserve">Выручка − переменные</t>
  </si>
  <si>
    <t xml:space="preserve">ПОСТОЯННЫЕ РАСХОДЫ, ₸</t>
  </si>
  <si>
    <t xml:space="preserve">Аренда участка</t>
  </si>
  <si>
    <t xml:space="preserve">Фикс из Допущений</t>
  </si>
  <si>
    <t xml:space="preserve">Подписка на софт</t>
  </si>
  <si>
    <t xml:space="preserve">Портов × плата за порт</t>
  </si>
  <si>
    <t xml:space="preserve">Освещение, связь, бухгалтерия</t>
  </si>
  <si>
    <t xml:space="preserve">Амортизация</t>
  </si>
  <si>
    <t xml:space="preserve">Смета / срок / 12</t>
  </si>
  <si>
    <t xml:space="preserve">Итого постоянных</t>
  </si>
  <si>
    <t xml:space="preserve">Платится независимо от того, приехал ли кто-то</t>
  </si>
  <si>
    <t xml:space="preserve">НАЛОГИ, ₸</t>
  </si>
  <si>
    <t xml:space="preserve">Налог по упрощёнке</t>
  </si>
  <si>
    <t xml:space="preserve">Выручка × 4% (режим 1)</t>
  </si>
  <si>
    <t xml:space="preserve">НДС с реализации</t>
  </si>
  <si>
    <t xml:space="preserve">Выручка × 16/116 (режим 2)</t>
  </si>
  <si>
    <t xml:space="preserve">НДС к зачёту</t>
  </si>
  <si>
    <t xml:space="preserve">Электроэнергия и услуги × 16/116 (режим 2)</t>
  </si>
  <si>
    <t xml:space="preserve">НДС к уплате</t>
  </si>
  <si>
    <t xml:space="preserve">Начисленный − зачёт</t>
  </si>
  <si>
    <t xml:space="preserve">Прибыль до КПН</t>
  </si>
  <si>
    <t xml:space="preserve">Валовая − постоянные − налог с выручки − НДС</t>
  </si>
  <si>
    <t xml:space="preserve">КПН</t>
  </si>
  <si>
    <t xml:space="preserve">20% от прибыли, если она есть (режим 2)</t>
  </si>
  <si>
    <t xml:space="preserve">РЕЗУЛЬТАТ, ₸</t>
  </si>
  <si>
    <t xml:space="preserve">ЧИСТАЯ ПРИБЫЛЬ</t>
  </si>
  <si>
    <t xml:space="preserve">Прибыль до КПН − КПН</t>
  </si>
  <si>
    <t xml:space="preserve">Чистая маржа</t>
  </si>
  <si>
    <t xml:space="preserve">Прибыль / выручка</t>
  </si>
  <si>
    <t xml:space="preserve">Денежный поток</t>
  </si>
  <si>
    <t xml:space="preserve">Прибыль + амортизация (она не выплачивается)</t>
  </si>
  <si>
    <t xml:space="preserve">Накопленный денежный поток</t>
  </si>
  <si>
    <t xml:space="preserve">Старт с минуса на сумму вложений. Когда выходит в плюс - проект окупился</t>
  </si>
  <si>
    <t xml:space="preserve">Проверка порога НДС</t>
  </si>
  <si>
    <t xml:space="preserve">ВЛОЖЕНИЯ, ЭКОНОМИКА КИЛОВАТТА И ТОЧКА БЕЗУБЫТОЧНОСТИ</t>
  </si>
  <si>
    <t xml:space="preserve">Считается от листа «Допущения» для нормального месяца (без сезонности). Главный вопрос: какая загрузка нужна.</t>
  </si>
  <si>
    <t xml:space="preserve">1. СТАРТОВЫЕ ВЛОЖЕНИЯ, ₸</t>
  </si>
  <si>
    <t xml:space="preserve">Оборудование</t>
  </si>
  <si>
    <t xml:space="preserve">Меньше половины проекта - это сама станция</t>
  </si>
  <si>
    <t xml:space="preserve">Площадка</t>
  </si>
  <si>
    <t xml:space="preserve">Софт и интеграция</t>
  </si>
  <si>
    <t xml:space="preserve">Резерв</t>
  </si>
  <si>
    <t xml:space="preserve">ИТОГО ВЛОЖЕНИЙ ПО СМЕТЕ</t>
  </si>
  <si>
    <t xml:space="preserve">Доля самой станции в смете</t>
  </si>
  <si>
    <t xml:space="preserve">Аренда и прочее за период до запуска</t>
  </si>
  <si>
    <t xml:space="preserve">Платится, пока выручки ещё нет</t>
  </si>
  <si>
    <t xml:space="preserve">Цена замороженных денег до запуска</t>
  </si>
  <si>
    <t xml:space="preserve">В среднем половина сметы оплачена заранее</t>
  </si>
  <si>
    <t xml:space="preserve">Скрытая цена задержки</t>
  </si>
  <si>
    <t xml:space="preserve">Этих денег нет в смете</t>
  </si>
  <si>
    <t xml:space="preserve">РЕАЛЬНЫЕ ВЛОЖЕНИЯ С УЧЁТОМ ЗАДЕРЖКИ</t>
  </si>
  <si>
    <t xml:space="preserve">2. ПОСТОЯННЫЕ РАСХОДЫ В МЕСЯЦ, ₸</t>
  </si>
  <si>
    <t xml:space="preserve">Софт: портов × подписка</t>
  </si>
  <si>
    <t xml:space="preserve">Итого постоянных денежных</t>
  </si>
  <si>
    <t xml:space="preserve">НДС к зачёту с постоянных (только общий режим)</t>
  </si>
  <si>
    <t xml:space="preserve">Постоянные для расчёта безубытка</t>
  </si>
  <si>
    <t xml:space="preserve">Не платится деньгами, но станция стареет</t>
  </si>
  <si>
    <t xml:space="preserve">3. ЭКОНОМИКА ОДНОГО КИЛОВАТТ-ЧАСА, ₸</t>
  </si>
  <si>
    <t xml:space="preserve">Цена для клиента</t>
  </si>
  <si>
    <t xml:space="preserve">Закупка с НДС</t>
  </si>
  <si>
    <t xml:space="preserve">Электроэнергия на 1 проданный кВт·ч (с потерями)</t>
  </si>
  <si>
    <t xml:space="preserve">Налог с выручки (упрощёнка) или НДС к уплате (общий)</t>
  </si>
  <si>
    <t xml:space="preserve">ВКЛАД 1 кВт·ч В ПОКРЫТИЕ ПОСТОЯННЫХ</t>
  </si>
  <si>
    <t xml:space="preserve">Цена / закупка с НДС</t>
  </si>
  <si>
    <t xml:space="preserve">В США 3,5-6,5×. У нас около 2×</t>
  </si>
  <si>
    <t xml:space="preserve">Вклад одной сессии</t>
  </si>
  <si>
    <t xml:space="preserve">Максимум энергии в месяц (100% загрузки)</t>
  </si>
  <si>
    <t xml:space="preserve">4. ТОЧКА БЕЗУБЫТОЧНОСТИ И ПОРОГ АДЕКВАТНОСТИ</t>
  </si>
  <si>
    <t xml:space="preserve">кВт·ч в месяц для нулевого денежного потока</t>
  </si>
  <si>
    <t xml:space="preserve">ЗАГРУЗКА ДЛЯ ВЫХОДА В НОЛЬ ПО ДЕНЬГАМ</t>
  </si>
  <si>
    <t xml:space="preserve">Машин в день для выхода в ноль</t>
  </si>
  <si>
    <t xml:space="preserve">Здесь станция только перестаёт терять деньги. Вложения не возвращаются</t>
  </si>
  <si>
    <t xml:space="preserve">Денежный поток для окупаемости за желаемый срок, в месяц</t>
  </si>
  <si>
    <t xml:space="preserve">кВт·ч в месяц для этого потока</t>
  </si>
  <si>
    <t xml:space="preserve">ПОРОГ АДЕКВАТНОСТИ: ЗАГРУЗКА</t>
  </si>
  <si>
    <t xml:space="preserve">ПОРОГ АДЕКВАТНОСТИ: МАШИН В ДЕНЬ</t>
  </si>
  <si>
    <t xml:space="preserve">Текущая загрузка из Допущений</t>
  </si>
  <si>
    <t xml:space="preserve">Запас прочности (текущая против нуля)</t>
  </si>
  <si>
    <t xml:space="preserve">Отрицательный - станция в минусе по деньгам</t>
  </si>
  <si>
    <t xml:space="preserve">5. ЛЕСТНИЦА ЗАГРУЗКИ: НОРМАЛЬНЫЙ МЕСЯЦ</t>
  </si>
  <si>
    <t xml:space="preserve">Загрузка</t>
  </si>
  <si>
    <t xml:space="preserve">Выручка</t>
  </si>
  <si>
    <t xml:space="preserve">Постоянные</t>
  </si>
  <si>
    <t xml:space="preserve">Налоги</t>
  </si>
  <si>
    <t xml:space="preserve">Окупаемость, лет</t>
  </si>
  <si>
    <t xml:space="preserve">Жёлтые проценты можно менять. Денежный поток = прибыль + амортизация: сколько денег реально остаётся за месяц.</t>
  </si>
  <si>
    <t xml:space="preserve">С 10% до 40% загрузка растёт в 4 раза, а денежный поток переходит из минуса в сотни тысяч в месяц: постоянные расходы не зависят от того, приехал ли кто-то.</t>
  </si>
  <si>
    <t xml:space="preserve">6. ЧУВСТВИТЕЛЬНОСТЬ: ДЕНЕЖНЫЙ ПОТОК В МЕСЯЦ, ₸</t>
  </si>
  <si>
    <t xml:space="preserve">Цена за кВт·ч ↓ / Загрузка →</t>
  </si>
  <si>
    <t xml:space="preserve">Строка - цена, столбец - загрузка. Красное поле: станция теряет деньги каждый месяц.</t>
  </si>
  <si>
    <t xml:space="preserve">7. ЗИМА: ПЛАТИТЬ ЗА КИЛОВАТТЫ ИЛИ ЗА МИНУТЫ</t>
  </si>
  <si>
    <t xml:space="preserve">Лето</t>
  </si>
  <si>
    <t xml:space="preserve">Зима</t>
  </si>
  <si>
    <t xml:space="preserve">Комментарий</t>
  </si>
  <si>
    <t xml:space="preserve">Длительность сессии, мин</t>
  </si>
  <si>
    <t xml:space="preserve">Та же энергия, но батарея принимает её медленнее</t>
  </si>
  <si>
    <t xml:space="preserve">Сессий на порт за час занятости</t>
  </si>
  <si>
    <t xml:space="preserve">Пропускная способность падает</t>
  </si>
  <si>
    <t xml:space="preserve">Оплата за кВт·ч: выручка оператора за час порта, ₸</t>
  </si>
  <si>
    <t xml:space="preserve">Аренда и оборудование стоят столько же</t>
  </si>
  <si>
    <t xml:space="preserve">Оплата за минуты: тариф, ₸/мин</t>
  </si>
  <si>
    <t xml:space="preserve">Тариф подобран так, чтобы летом было как по кВт·ч</t>
  </si>
  <si>
    <t xml:space="preserve">Оплата за минуты: клиент платит за сессию, ₸</t>
  </si>
  <si>
    <t xml:space="preserve">Зимой клиент платит больше за те же 20 кВт·ч и уходит</t>
  </si>
  <si>
    <t xml:space="preserve">Модель не учитывает кредит. Если строите на заёмные - добавьте платежи отдельной строкой на листе «Модель».</t>
  </si>
  <si>
    <t xml:space="preserve">Модель носит образовательный характер и не является финансовой рекомендацией.</t>
  </si>
  <si>
    <t xml:space="preserve">РЫЧАГИ: КАК СДЕЛАТЬ СТАНЦИЮ ЛУЧШЕ</t>
  </si>
  <si>
    <t xml:space="preserve">Шесть рычагов от самого дешёвого к самому дорогому. Жёлтые ячейки - свои вводные рычага. База - нормальный месяц при текущей загрузке.</t>
  </si>
  <si>
    <t xml:space="preserve">БАЗА</t>
  </si>
  <si>
    <t xml:space="preserve">Отпущено энергии в нормальный месяц</t>
  </si>
  <si>
    <t xml:space="preserve">Сессий в месяц</t>
  </si>
  <si>
    <t xml:space="preserve">Денежный поток в месяц сейчас</t>
  </si>
  <si>
    <t xml:space="preserve">Нормальный месяц без сезонности, как в лестнице загрузки</t>
  </si>
  <si>
    <t xml:space="preserve">1. ПЕРЕСТАТЬ ПРОДАВАТЬ ЭЛЕКТРИЧЕСТВО: КОФЕ И ЕДА</t>
  </si>
  <si>
    <t xml:space="preserve">Доля сессий с покупкой</t>
  </si>
  <si>
    <t xml:space="preserve">Человек стоит 30-40 минут и никуда не уйдёт: машина привязана кабелем</t>
  </si>
  <si>
    <t xml:space="preserve">Средний чек</t>
  </si>
  <si>
    <t xml:space="preserve">Кофе - как в выпуске про кофейню</t>
  </si>
  <si>
    <t xml:space="preserve">Себестоимость чека</t>
  </si>
  <si>
    <t xml:space="preserve">С учётом списаний</t>
  </si>
  <si>
    <t xml:space="preserve">Доп. постоянные: кофе-точка или автомат</t>
  </si>
  <si>
    <t xml:space="preserve">Аренда автомата, обслуживание, пополнение. Своё кафе с бариста - другой бизнес</t>
  </si>
  <si>
    <t xml:space="preserve">Вклад одного чека</t>
  </si>
  <si>
    <t xml:space="preserve">Сравните с вкладом целой зарядки на листе «Безубыток»</t>
  </si>
  <si>
    <t xml:space="preserve">Прибавка к денежному потоку</t>
  </si>
  <si>
    <t xml:space="preserve">2. АБОНЕМЕНТ ВМЕСТО НАДЕЖДЫ</t>
  </si>
  <si>
    <t xml:space="preserve">Подписчиков</t>
  </si>
  <si>
    <t xml:space="preserve">чел</t>
  </si>
  <si>
    <t xml:space="preserve">Постоянные клиенты, которые платят вперёд</t>
  </si>
  <si>
    <t xml:space="preserve">Плата за абонемент</t>
  </si>
  <si>
    <t xml:space="preserve">Деньги приходят первого числа, приехал человек или нет</t>
  </si>
  <si>
    <t xml:space="preserve">Потребление подписчика</t>
  </si>
  <si>
    <t xml:space="preserve">кВт·ч/мес</t>
  </si>
  <si>
    <t xml:space="preserve">Считаем, что они и так заряжались у вас: эффект - только плата минус скидка</t>
  </si>
  <si>
    <t xml:space="preserve">Скидка на тариф для подписчика</t>
  </si>
  <si>
    <t xml:space="preserve">3. ФЛОТ ВМЕСТО СЛУЧАЙНЫХ</t>
  </si>
  <si>
    <t xml:space="preserve">Машин таксопарка или доставки по договору</t>
  </si>
  <si>
    <t xml:space="preserve">Такси проезжает ~300 км в день - в 10 раз больше частника</t>
  </si>
  <si>
    <t xml:space="preserve">Заряжает у вас в день, одна машина</t>
  </si>
  <si>
    <t xml:space="preserve">Часть энергии они всё равно добирают в парке</t>
  </si>
  <si>
    <t xml:space="preserve">Цена для флота</t>
  </si>
  <si>
    <t xml:space="preserve">Скидка за гарантированный объём</t>
  </si>
  <si>
    <t xml:space="preserve">Дополнительная энергия в месяц</t>
  </si>
  <si>
    <t xml:space="preserve">Вклад 1 кВт·ч по цене флота</t>
  </si>
  <si>
    <t xml:space="preserve">Загрузка вместе с флотом</t>
  </si>
  <si>
    <t xml:space="preserve">Выше 50-60% станция начинает создавать очереди</t>
  </si>
  <si>
    <t xml:space="preserve">4. ЭКРАН И ПЛАТА ЗА ПРОСТОЙ</t>
  </si>
  <si>
    <t xml:space="preserve">Реклама на экране станции</t>
  </si>
  <si>
    <t xml:space="preserve">Нулевая себестоимость показа, деньги не зависят от киловатт</t>
  </si>
  <si>
    <t xml:space="preserve">Доля сессий с простоем после зарядки</t>
  </si>
  <si>
    <t xml:space="preserve">Машина зарядилась, водитель ушёл в ТРЦ</t>
  </si>
  <si>
    <t xml:space="preserve">Платных минут простоя на такую сессию</t>
  </si>
  <si>
    <t xml:space="preserve">После бесплатных 5-10 минут</t>
  </si>
  <si>
    <t xml:space="preserve">Плата за минуту простоя</t>
  </si>
  <si>
    <t xml:space="preserve">₸/мин</t>
  </si>
  <si>
    <t xml:space="preserve">Главная цель не заработать, а освободить порт для следующего клиента</t>
  </si>
  <si>
    <t xml:space="preserve">5. ПРАВИЛЬНОЕ МЕСТО</t>
  </si>
  <si>
    <t xml:space="preserve">Прибавка загрузки от места, где люди и так стоят полчаса</t>
  </si>
  <si>
    <t xml:space="preserve">п.п.</t>
  </si>
  <si>
    <t xml:space="preserve">ТРЦ, супермаркет, гостиница, кафе на трассе</t>
  </si>
  <si>
    <t xml:space="preserve">ИТОГО РЫЧАГИ 1-5</t>
  </si>
  <si>
    <t xml:space="preserve">Денежный поток со всеми рычагами</t>
  </si>
  <si>
    <t xml:space="preserve">Окупаемость сейчас</t>
  </si>
  <si>
    <t xml:space="preserve">Окупаемость со всеми рычагами</t>
  </si>
  <si>
    <t xml:space="preserve">6. НЕ ВЛАДЕТЬ СТАНЦИЕЙ: ДОЛЯ ВЛАДЕЛЬЦА ЗЕМЛИ</t>
  </si>
  <si>
    <t xml:space="preserve">Доля с выручки оператору земли</t>
  </si>
  <si>
    <t xml:space="preserve">Вы пускаете оператора на свой участок и берёте процент</t>
  </si>
  <si>
    <t xml:space="preserve">Ваши вложения</t>
  </si>
  <si>
    <t xml:space="preserve">Не платите 26 млн, не рискуете техприсоединением, не чините коннектор в январе</t>
  </si>
  <si>
    <t xml:space="preserve">Ваш доход в месяц при текущей загрузке</t>
  </si>
  <si>
    <t xml:space="preserve">После налога 4%. Вложения ноль, риск ноль</t>
  </si>
  <si>
    <t xml:space="preserve">Денежный поток оператора станции, для сравнения</t>
  </si>
  <si>
    <t xml:space="preserve">При вложениях по смете с листа «Безубыток»</t>
  </si>
  <si>
    <t xml:space="preserve">Эффекты рычагов считаются независимо; все вместе - упрощённая сумма. Налог учитывается по выбранному режиму.</t>
  </si>
  <si>
    <t xml:space="preserve">ЛОВУШКА МЕДЛЕННЫХ СТАНЦИЙ</t>
  </si>
  <si>
    <t xml:space="preserve">AC-зарядка 7-22 кВт: в двадцать раз дешевле быстрой. Посчитаем, сколько она зарабатывает.</t>
  </si>
  <si>
    <t xml:space="preserve">ВВОДНЫЕ</t>
  </si>
  <si>
    <t xml:space="preserve">Оборудование 7-22 кВт</t>
  </si>
  <si>
    <t xml:space="preserve">В Казахстане 285 000-400 000 ₸</t>
  </si>
  <si>
    <t xml:space="preserve">Монтаж и подключение</t>
  </si>
  <si>
    <t xml:space="preserve">Монтаж от 60 000 ₸, плюс кабель и автомат</t>
  </si>
  <si>
    <t xml:space="preserve">Медленные станции продают дешевле быстрых</t>
  </si>
  <si>
    <t xml:space="preserve">Энергии за ночь</t>
  </si>
  <si>
    <t xml:space="preserve">Одна машина за ночь</t>
  </si>
  <si>
    <t xml:space="preserve">Зарядок в месяц</t>
  </si>
  <si>
    <t xml:space="preserve">Одна машина каждую ночь - оптимистично</t>
  </si>
  <si>
    <t xml:space="preserve">Потери</t>
  </si>
  <si>
    <t xml:space="preserve">У AC-станции преобразование делает сама машина, потери малы</t>
  </si>
  <si>
    <t xml:space="preserve">Аренда парковочного места</t>
  </si>
  <si>
    <t xml:space="preserve">Место под парковку тоже стоит денег. Поставьте свою цифру</t>
  </si>
  <si>
    <t xml:space="preserve">РАСЧЁТ</t>
  </si>
  <si>
    <t xml:space="preserve">Маржа до налогов и потерь</t>
  </si>
  <si>
    <t xml:space="preserve">Та самая цифра «9 тенге с киловатта»</t>
  </si>
  <si>
    <t xml:space="preserve">Валовая маржа за ночь</t>
  </si>
  <si>
    <t xml:space="preserve">До аренды места и обслуживания</t>
  </si>
  <si>
    <t xml:space="preserve">Маржа после налога, эквайринга и потерь</t>
  </si>
  <si>
    <t xml:space="preserve">Упрощёнка 4% и эквайринг</t>
  </si>
  <si>
    <t xml:space="preserve">Чистыми за ночь</t>
  </si>
  <si>
    <t xml:space="preserve">Вложения</t>
  </si>
  <si>
    <t xml:space="preserve">Зарядок для окупаемости по валовой марже</t>
  </si>
  <si>
    <t xml:space="preserve">Почти полторы тысячи полных зарядок</t>
  </si>
  <si>
    <t xml:space="preserve">Окупаемость по валовой марже</t>
  </si>
  <si>
    <t xml:space="preserve">Как обычно считают</t>
  </si>
  <si>
    <t xml:space="preserve">Окупаемость после налогов и потерь</t>
  </si>
  <si>
    <t xml:space="preserve">Как есть на самом деле</t>
  </si>
  <si>
    <t xml:space="preserve">Вывод: маржа есть только на быстрых станциях, но им нужен поток, которого пока нет. Медленные доступны по деньгам, но на них не заработать.</t>
  </si>
  <si>
    <t xml:space="preserve">ГОДОВОЙ СВОД</t>
  </si>
  <si>
    <t xml:space="preserve">12 месяцев работы с учётом сезонности</t>
  </si>
  <si>
    <t xml:space="preserve">За год</t>
  </si>
  <si>
    <t xml:space="preserve">В месяц</t>
  </si>
  <si>
    <t xml:space="preserve">Машин в день, в среднем</t>
  </si>
  <si>
    <t xml:space="preserve">РАСХОДЫ</t>
  </si>
  <si>
    <t xml:space="preserve">Съедает большую часть выручки</t>
  </si>
  <si>
    <t xml:space="preserve">Постоянные без амортизации</t>
  </si>
  <si>
    <t xml:space="preserve">Упрощёнка или НДС + КПН</t>
  </si>
  <si>
    <t xml:space="preserve">РЕЗУЛЬТАТ</t>
  </si>
  <si>
    <t xml:space="preserve">Чистая прибыль</t>
  </si>
  <si>
    <t xml:space="preserve">С учётом амортизации</t>
  </si>
  <si>
    <t xml:space="preserve">Прибыль + амортизация</t>
  </si>
  <si>
    <t xml:space="preserve">ОКУПАЕМОСТЬ</t>
  </si>
  <si>
    <t xml:space="preserve">Вложения по смете</t>
  </si>
  <si>
    <t xml:space="preserve">Реальные вложения с учётом задержки</t>
  </si>
  <si>
    <t xml:space="preserve">Смета + аренда и стоимость денег до запуска</t>
  </si>
  <si>
    <t xml:space="preserve">Окупаемость по денежному потоку, лет</t>
  </si>
  <si>
    <t xml:space="preserve">Считается от сметы</t>
  </si>
  <si>
    <t xml:space="preserve">Окупаемость с учётом задержки, лет</t>
  </si>
  <si>
    <t xml:space="preserve">Накопленный поток на конец года</t>
  </si>
  <si>
    <t xml:space="preserve">Минус - вложения ещё не вернулись</t>
  </si>
  <si>
    <t xml:space="preserve">ДАШБОРД СОБСТВЕННИКА - 8 ЦИФР</t>
  </si>
  <si>
    <t xml:space="preserve">Всё, что нужно смотреть каждый месяц</t>
  </si>
  <si>
    <t xml:space="preserve">1. Машин в день</t>
  </si>
  <si>
    <t xml:space="preserve">2. Загрузка</t>
  </si>
  <si>
    <t xml:space="preserve">3. Выручка, тыс ₸</t>
  </si>
  <si>
    <t xml:space="preserve">4. Электроэнергия, тыс ₸</t>
  </si>
  <si>
    <t xml:space="preserve">5. Постоянные, тыс ₸</t>
  </si>
  <si>
    <t xml:space="preserve">6. Налоги, тыс ₸</t>
  </si>
  <si>
    <t xml:space="preserve">7. Денежный поток, тыс ₸</t>
  </si>
  <si>
    <t xml:space="preserve">8. Накопленный поток, тыс ₸</t>
  </si>
  <si>
    <t xml:space="preserve">Что смотреть в первую очередь</t>
  </si>
  <si>
    <t xml:space="preserve">Строка 2 - главный показатель. Ниже загрузки из «Безубыток», раздел 4, станция теряет деньги.</t>
  </si>
  <si>
    <t xml:space="preserve">Строка 5 не меняется от месяца к месяцу: станция, которой никто не пользуется, зарабатывает ноль, но стоить ноль не перестаёт.</t>
  </si>
  <si>
    <t xml:space="preserve">Строка 8 показывает, когда вы вернёте вложенное. Пока она в минусе - деньги ещё не отбиты.</t>
  </si>
  <si>
    <t xml:space="preserve">Декабрь-февраль: спрос растёт, а пропускная способность падает. Каждая поломка зимой - отметка в приложении, которую увидят все.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</si>
</sst>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;\(#,##0\);\-"/>
    <numFmt numFmtId="166" formatCode="0.0%"/>
    <numFmt numFmtId="167" formatCode="#,##0.00;\(#,##0.00\);\-"/>
    <numFmt numFmtId="168" formatCode="0"/>
    <numFmt numFmtId="169" formatCode="0.00"/>
    <numFmt numFmtId="170" formatCode="0.0\×"/>
    <numFmt numFmtId="171" formatCode="#,##0.0;\(#,##0.0\);\-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color rgb="FF666666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0"/>
      <color rgb="FFC00000"/>
      <name val="Arial"/>
      <family val="0"/>
      <charset val="1"/>
    </font>
    <font>
      <b val="true"/>
      <sz val="10"/>
      <color rgb="FF0000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DDEBF7"/>
      </patternFill>
    </fill>
    <fill>
      <patternFill patternType="solid">
        <fgColor rgb="FF1F3864"/>
        <bgColor rgb="FF333399"/>
      </patternFill>
    </fill>
    <fill>
      <patternFill patternType="solid">
        <fgColor rgb="FFFFFF00"/>
        <bgColor rgb="FFFFFF00"/>
      </patternFill>
    </fill>
    <fill>
      <patternFill patternType="solid">
        <fgColor rgb="FFDDEBF7"/>
        <bgColor rgb="FFF2F2F2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59595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17.3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3"/>
    </row>
    <row r="4" customFormat="false" ht="15" hidden="false" customHeight="false" outlineLevel="0" collapsed="false">
      <c r="B4" s="4" t="s">
        <v>2</v>
      </c>
    </row>
    <row r="5" customFormat="false" ht="15" hidden="false" customHeight="false" outlineLevel="0" collapsed="false">
      <c r="B5" s="3" t="s">
        <v>3</v>
      </c>
    </row>
    <row r="6" customFormat="false" ht="15" hidden="false" customHeight="false" outlineLevel="0" collapsed="false">
      <c r="B6" s="3" t="s">
        <v>4</v>
      </c>
    </row>
    <row r="7" customFormat="false" ht="15" hidden="false" customHeight="false" outlineLevel="0" collapsed="false">
      <c r="B7" s="3" t="s">
        <v>5</v>
      </c>
    </row>
    <row r="8" customFormat="false" ht="15" hidden="false" customHeight="false" outlineLevel="0" collapsed="false">
      <c r="B8" s="3" t="s">
        <v>6</v>
      </c>
    </row>
    <row r="9" customFormat="false" ht="15" hidden="false" customHeight="false" outlineLevel="0" collapsed="false">
      <c r="B9" s="3" t="s">
        <v>7</v>
      </c>
    </row>
    <row r="10" customFormat="false" ht="15" hidden="false" customHeight="false" outlineLevel="0" collapsed="false">
      <c r="B10" s="3"/>
    </row>
    <row r="11" customFormat="false" ht="15" hidden="false" customHeight="false" outlineLevel="0" collapsed="false">
      <c r="B11" s="4" t="s">
        <v>8</v>
      </c>
    </row>
    <row r="12" customFormat="false" ht="15" hidden="false" customHeight="false" outlineLevel="0" collapsed="false">
      <c r="B12" s="3" t="s">
        <v>9</v>
      </c>
    </row>
    <row r="13" customFormat="false" ht="15" hidden="false" customHeight="false" outlineLevel="0" collapsed="false">
      <c r="B13" s="3" t="s">
        <v>10</v>
      </c>
    </row>
    <row r="14" customFormat="false" ht="15" hidden="false" customHeight="false" outlineLevel="0" collapsed="false">
      <c r="B14" s="3" t="s">
        <v>11</v>
      </c>
    </row>
    <row r="15" customFormat="false" ht="15" hidden="false" customHeight="false" outlineLevel="0" collapsed="false">
      <c r="B15" s="3" t="s">
        <v>12</v>
      </c>
    </row>
    <row r="16" customFormat="false" ht="15" hidden="false" customHeight="false" outlineLevel="0" collapsed="false">
      <c r="B16" s="3"/>
    </row>
    <row r="17" customFormat="false" ht="15" hidden="false" customHeight="false" outlineLevel="0" collapsed="false">
      <c r="B17" s="4" t="s">
        <v>13</v>
      </c>
    </row>
    <row r="18" customFormat="false" ht="15" hidden="false" customHeight="false" outlineLevel="0" collapsed="false">
      <c r="B18" s="3" t="s">
        <v>14</v>
      </c>
    </row>
    <row r="19" customFormat="false" ht="15" hidden="false" customHeight="false" outlineLevel="0" collapsed="false">
      <c r="B19" s="3" t="s">
        <v>15</v>
      </c>
    </row>
    <row r="20" customFormat="false" ht="15" hidden="false" customHeight="false" outlineLevel="0" collapsed="false">
      <c r="B20" s="3"/>
    </row>
    <row r="21" customFormat="false" ht="15" hidden="false" customHeight="false" outlineLevel="0" collapsed="false">
      <c r="B21" s="3" t="s">
        <v>16</v>
      </c>
    </row>
    <row r="22" customFormat="false" ht="15" hidden="false" customHeight="false" outlineLevel="0" collapsed="false">
      <c r="B22" s="3" t="s">
        <v>17</v>
      </c>
    </row>
    <row r="23" customFormat="false" ht="15" hidden="false" customHeight="false" outlineLevel="0" collapsed="false">
      <c r="B23" s="3"/>
    </row>
    <row r="24" customFormat="false" ht="15" hidden="false" customHeight="false" outlineLevel="0" collapsed="false">
      <c r="B24" s="3" t="s">
        <v>18</v>
      </c>
    </row>
    <row r="25" customFormat="false" ht="15" hidden="false" customHeight="false" outlineLevel="0" collapsed="false">
      <c r="B25" s="3" t="s">
        <v>19</v>
      </c>
    </row>
    <row r="26" customFormat="false" ht="15" hidden="false" customHeight="false" outlineLevel="0" collapsed="false">
      <c r="B26" s="3"/>
    </row>
    <row r="27" customFormat="false" ht="15" hidden="false" customHeight="false" outlineLevel="0" collapsed="false">
      <c r="B27" s="3" t="s">
        <v>20</v>
      </c>
    </row>
    <row r="28" customFormat="false" ht="15" hidden="false" customHeight="false" outlineLevel="0" collapsed="false">
      <c r="B28" s="3" t="s">
        <v>21</v>
      </c>
    </row>
    <row r="29" customFormat="false" ht="15" hidden="false" customHeight="false" outlineLevel="0" collapsed="false">
      <c r="B29" s="3"/>
    </row>
    <row r="30" customFormat="false" ht="15" hidden="false" customHeight="false" outlineLevel="0" collapsed="false">
      <c r="B30" s="4" t="s">
        <v>22</v>
      </c>
    </row>
    <row r="31" customFormat="false" ht="15" hidden="false" customHeight="false" outlineLevel="0" collapsed="false">
      <c r="B31" s="3" t="s">
        <v>23</v>
      </c>
    </row>
    <row r="32" customFormat="false" ht="15" hidden="false" customHeight="false" outlineLevel="0" collapsed="false">
      <c r="B32" s="3" t="s">
        <v>24</v>
      </c>
    </row>
    <row r="33" customFormat="false" ht="15" hidden="false" customHeight="false" outlineLevel="0" collapsed="false">
      <c r="B33" s="3" t="s">
        <v>25</v>
      </c>
    </row>
    <row r="34" customFormat="false" ht="15" hidden="false" customHeight="false" outlineLevel="0" collapsed="false">
      <c r="B34" s="3" t="s">
        <v>26</v>
      </c>
    </row>
    <row r="35" customFormat="false" ht="15" hidden="false" customHeight="false" outlineLevel="0" collapsed="false">
      <c r="B35" s="3"/>
    </row>
    <row r="36" customFormat="false" ht="15" hidden="false" customHeight="false" outlineLevel="0" collapsed="false">
      <c r="B36" s="4" t="s">
        <v>27</v>
      </c>
    </row>
    <row r="37" customFormat="false" ht="15" hidden="false" customHeight="false" outlineLevel="0" collapsed="false">
      <c r="B37" s="3" t="s">
        <v>28</v>
      </c>
    </row>
    <row r="38" customFormat="false" ht="15" hidden="false" customHeight="false" outlineLevel="0" collapsed="false">
      <c r="B38" s="3" t="s">
        <v>29</v>
      </c>
    </row>
    <row r="39" customFormat="false" ht="15" hidden="false" customHeight="false" outlineLevel="0" collapsed="false">
      <c r="B39" s="3" t="s">
        <v>30</v>
      </c>
    </row>
    <row r="40" customFormat="false" ht="15" hidden="false" customHeight="false" outlineLevel="0" collapsed="false">
      <c r="B40" s="3"/>
    </row>
    <row r="41" customFormat="false" ht="15" hidden="false" customHeight="false" outlineLevel="0" collapsed="false">
      <c r="B41" s="3" t="s">
        <v>31</v>
      </c>
    </row>
    <row r="42" customFormat="false" ht="15" hidden="false" customHeight="false" outlineLevel="0" collapsed="false">
      <c r="B42" s="3" t="s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3" min="3" style="0" width="15"/>
    <col collapsed="false" customWidth="true" hidden="false" outlineLevel="0" max="4" min="4" style="0" width="90"/>
  </cols>
  <sheetData>
    <row r="1" customFormat="false" ht="17.35" hidden="false" customHeight="false" outlineLevel="0" collapsed="false">
      <c r="A1" s="1" t="s">
        <v>33</v>
      </c>
    </row>
    <row r="2" customFormat="false" ht="15" hidden="false" customHeight="false" outlineLevel="0" collapsed="false">
      <c r="A2" s="2" t="s">
        <v>34</v>
      </c>
    </row>
    <row r="3" customFormat="false" ht="15" hidden="false" customHeight="false" outlineLevel="0" collapsed="false">
      <c r="A3" s="5" t="s">
        <v>35</v>
      </c>
      <c r="B3" s="5" t="s">
        <v>36</v>
      </c>
      <c r="C3" s="5" t="s">
        <v>37</v>
      </c>
      <c r="D3" s="5" t="s">
        <v>38</v>
      </c>
    </row>
    <row r="4" customFormat="false" ht="15" hidden="false" customHeight="false" outlineLevel="0" collapsed="false">
      <c r="A4" s="6" t="s">
        <v>39</v>
      </c>
      <c r="B4" s="7"/>
      <c r="C4" s="7"/>
      <c r="D4" s="7"/>
    </row>
    <row r="5" customFormat="false" ht="15" hidden="false" customHeight="false" outlineLevel="0" collapsed="false">
      <c r="A5" s="3" t="s">
        <v>40</v>
      </c>
      <c r="B5" s="8" t="n">
        <v>120</v>
      </c>
      <c r="C5" s="3" t="s">
        <v>41</v>
      </c>
      <c r="D5" s="9" t="s">
        <v>42</v>
      </c>
    </row>
    <row r="6" customFormat="false" ht="15" hidden="false" customHeight="false" outlineLevel="0" collapsed="false">
      <c r="A6" s="3" t="s">
        <v>43</v>
      </c>
      <c r="B6" s="8" t="n">
        <v>2</v>
      </c>
      <c r="C6" s="3" t="s">
        <v>44</v>
      </c>
      <c r="D6" s="9" t="s">
        <v>45</v>
      </c>
    </row>
    <row r="7" customFormat="false" ht="35.05" hidden="false" customHeight="false" outlineLevel="0" collapsed="false">
      <c r="A7" s="3" t="s">
        <v>46</v>
      </c>
      <c r="B7" s="10" t="n">
        <v>0.15</v>
      </c>
      <c r="C7" s="3" t="s">
        <v>47</v>
      </c>
      <c r="D7" s="9" t="s">
        <v>48</v>
      </c>
    </row>
    <row r="8" customFormat="false" ht="23.85" hidden="false" customHeight="false" outlineLevel="0" collapsed="false">
      <c r="A8" s="3" t="s">
        <v>49</v>
      </c>
      <c r="B8" s="8" t="n">
        <v>20</v>
      </c>
      <c r="C8" s="3" t="s">
        <v>50</v>
      </c>
      <c r="D8" s="9" t="s">
        <v>51</v>
      </c>
    </row>
    <row r="9" customFormat="false" ht="15" hidden="false" customHeight="false" outlineLevel="0" collapsed="false">
      <c r="A9" s="3" t="s">
        <v>52</v>
      </c>
      <c r="B9" s="8" t="n">
        <v>24</v>
      </c>
      <c r="C9" s="3" t="s">
        <v>53</v>
      </c>
      <c r="D9" s="9" t="s">
        <v>54</v>
      </c>
    </row>
    <row r="10" customFormat="false" ht="15" hidden="false" customHeight="false" outlineLevel="0" collapsed="false">
      <c r="A10" s="3" t="s">
        <v>55</v>
      </c>
      <c r="B10" s="8" t="n">
        <v>30</v>
      </c>
      <c r="C10" s="3" t="s">
        <v>56</v>
      </c>
      <c r="D10" s="9" t="s">
        <v>57</v>
      </c>
    </row>
    <row r="12" customFormat="false" ht="15" hidden="false" customHeight="false" outlineLevel="0" collapsed="false">
      <c r="A12" s="6" t="s">
        <v>58</v>
      </c>
      <c r="B12" s="7"/>
      <c r="C12" s="7"/>
      <c r="D12" s="7"/>
    </row>
    <row r="13" customFormat="false" ht="15" hidden="false" customHeight="false" outlineLevel="0" collapsed="false">
      <c r="A13" s="3" t="s">
        <v>59</v>
      </c>
      <c r="B13" s="8" t="n">
        <v>80</v>
      </c>
      <c r="C13" s="3" t="s">
        <v>60</v>
      </c>
      <c r="D13" s="9" t="s">
        <v>61</v>
      </c>
    </row>
    <row r="14" customFormat="false" ht="23.85" hidden="false" customHeight="false" outlineLevel="0" collapsed="false">
      <c r="A14" s="3" t="s">
        <v>62</v>
      </c>
      <c r="B14" s="11" t="n">
        <v>35.72</v>
      </c>
      <c r="C14" s="3" t="s">
        <v>63</v>
      </c>
      <c r="D14" s="9" t="s">
        <v>64</v>
      </c>
    </row>
    <row r="15" customFormat="false" ht="15" hidden="false" customHeight="false" outlineLevel="0" collapsed="false">
      <c r="A15" s="3" t="s">
        <v>65</v>
      </c>
      <c r="B15" s="10" t="n">
        <v>0.16</v>
      </c>
      <c r="C15" s="3" t="s">
        <v>47</v>
      </c>
      <c r="D15" s="9" t="s">
        <v>66</v>
      </c>
    </row>
    <row r="16" customFormat="false" ht="23.85" hidden="false" customHeight="false" outlineLevel="0" collapsed="false">
      <c r="A16" s="3" t="s">
        <v>67</v>
      </c>
      <c r="B16" s="10" t="n">
        <v>0.05</v>
      </c>
      <c r="C16" s="3" t="s">
        <v>47</v>
      </c>
      <c r="D16" s="9" t="s">
        <v>68</v>
      </c>
    </row>
    <row r="17" customFormat="false" ht="15" hidden="false" customHeight="false" outlineLevel="0" collapsed="false">
      <c r="A17" s="3" t="s">
        <v>69</v>
      </c>
      <c r="B17" s="10" t="n">
        <v>1</v>
      </c>
      <c r="C17" s="3" t="s">
        <v>47</v>
      </c>
      <c r="D17" s="9" t="s">
        <v>70</v>
      </c>
    </row>
    <row r="18" customFormat="false" ht="15" hidden="false" customHeight="false" outlineLevel="0" collapsed="false">
      <c r="A18" s="3" t="s">
        <v>71</v>
      </c>
      <c r="B18" s="10" t="n">
        <v>0.015</v>
      </c>
      <c r="C18" s="3" t="s">
        <v>47</v>
      </c>
      <c r="D18" s="9" t="s">
        <v>72</v>
      </c>
    </row>
    <row r="20" customFormat="false" ht="15" hidden="false" customHeight="false" outlineLevel="0" collapsed="false">
      <c r="A20" s="6" t="s">
        <v>73</v>
      </c>
      <c r="B20" s="7"/>
      <c r="C20" s="7"/>
      <c r="D20" s="7"/>
    </row>
    <row r="21" customFormat="false" ht="23.85" hidden="false" customHeight="false" outlineLevel="0" collapsed="false">
      <c r="A21" s="3" t="s">
        <v>74</v>
      </c>
      <c r="B21" s="12" t="n">
        <v>1</v>
      </c>
      <c r="C21" s="3" t="s">
        <v>75</v>
      </c>
      <c r="D21" s="9" t="s">
        <v>76</v>
      </c>
    </row>
    <row r="22" customFormat="false" ht="23.85" hidden="false" customHeight="false" outlineLevel="0" collapsed="false">
      <c r="A22" s="3" t="s">
        <v>77</v>
      </c>
      <c r="B22" s="10" t="n">
        <v>0.04</v>
      </c>
      <c r="C22" s="3" t="s">
        <v>78</v>
      </c>
      <c r="D22" s="9" t="s">
        <v>79</v>
      </c>
    </row>
    <row r="23" customFormat="false" ht="15" hidden="false" customHeight="false" outlineLevel="0" collapsed="false">
      <c r="A23" s="3" t="s">
        <v>80</v>
      </c>
      <c r="B23" s="10" t="n">
        <v>0.16</v>
      </c>
      <c r="C23" s="3" t="s">
        <v>47</v>
      </c>
      <c r="D23" s="9" t="s">
        <v>81</v>
      </c>
    </row>
    <row r="24" customFormat="false" ht="15" hidden="false" customHeight="false" outlineLevel="0" collapsed="false">
      <c r="A24" s="3" t="s">
        <v>82</v>
      </c>
      <c r="B24" s="8" t="n">
        <v>43250000</v>
      </c>
      <c r="C24" s="3" t="s">
        <v>83</v>
      </c>
      <c r="D24" s="9" t="s">
        <v>84</v>
      </c>
    </row>
    <row r="25" customFormat="false" ht="15" hidden="false" customHeight="false" outlineLevel="0" collapsed="false">
      <c r="A25" s="3" t="s">
        <v>85</v>
      </c>
      <c r="B25" s="10" t="n">
        <v>0.2</v>
      </c>
      <c r="C25" s="3" t="s">
        <v>47</v>
      </c>
      <c r="D25" s="9" t="s">
        <v>86</v>
      </c>
    </row>
    <row r="27" customFormat="false" ht="15" hidden="false" customHeight="false" outlineLevel="0" collapsed="false">
      <c r="A27" s="6" t="s">
        <v>87</v>
      </c>
      <c r="B27" s="7"/>
      <c r="C27" s="7"/>
      <c r="D27" s="7"/>
    </row>
    <row r="28" customFormat="false" ht="23.85" hidden="false" customHeight="false" outlineLevel="0" collapsed="false">
      <c r="A28" s="3" t="s">
        <v>88</v>
      </c>
      <c r="B28" s="8" t="n">
        <v>150000</v>
      </c>
      <c r="C28" s="3" t="s">
        <v>89</v>
      </c>
      <c r="D28" s="9" t="s">
        <v>90</v>
      </c>
    </row>
    <row r="29" customFormat="false" ht="23.85" hidden="false" customHeight="false" outlineLevel="0" collapsed="false">
      <c r="A29" s="3" t="s">
        <v>91</v>
      </c>
      <c r="B29" s="8" t="n">
        <v>15000</v>
      </c>
      <c r="C29" s="3" t="s">
        <v>89</v>
      </c>
      <c r="D29" s="9" t="s">
        <v>92</v>
      </c>
    </row>
    <row r="30" customFormat="false" ht="15" hidden="false" customHeight="false" outlineLevel="0" collapsed="false">
      <c r="A30" s="3" t="s">
        <v>93</v>
      </c>
      <c r="B30" s="8" t="n">
        <v>80000</v>
      </c>
      <c r="C30" s="3" t="s">
        <v>89</v>
      </c>
      <c r="D30" s="9" t="s">
        <v>94</v>
      </c>
    </row>
    <row r="31" customFormat="false" ht="15" hidden="false" customHeight="false" outlineLevel="0" collapsed="false">
      <c r="A31" s="3" t="s">
        <v>95</v>
      </c>
      <c r="B31" s="8" t="n">
        <v>20000</v>
      </c>
      <c r="C31" s="3" t="s">
        <v>89</v>
      </c>
      <c r="D31" s="9" t="s">
        <v>96</v>
      </c>
    </row>
    <row r="32" customFormat="false" ht="15" hidden="false" customHeight="false" outlineLevel="0" collapsed="false">
      <c r="A32" s="3" t="s">
        <v>97</v>
      </c>
      <c r="B32" s="8" t="n">
        <v>10000</v>
      </c>
      <c r="C32" s="3" t="s">
        <v>89</v>
      </c>
      <c r="D32" s="9" t="s">
        <v>98</v>
      </c>
    </row>
    <row r="33" customFormat="false" ht="15" hidden="false" customHeight="false" outlineLevel="0" collapsed="false">
      <c r="A33" s="3" t="s">
        <v>99</v>
      </c>
      <c r="B33" s="8" t="n">
        <v>30000</v>
      </c>
      <c r="C33" s="3" t="s">
        <v>89</v>
      </c>
      <c r="D33" s="9" t="s">
        <v>100</v>
      </c>
    </row>
    <row r="35" customFormat="false" ht="15" hidden="false" customHeight="false" outlineLevel="0" collapsed="false">
      <c r="A35" s="6" t="s">
        <v>101</v>
      </c>
      <c r="B35" s="7"/>
      <c r="C35" s="7"/>
      <c r="D35" s="7"/>
    </row>
    <row r="36" customFormat="false" ht="15" hidden="false" customHeight="false" outlineLevel="0" collapsed="false">
      <c r="A36" s="3" t="s">
        <v>102</v>
      </c>
      <c r="B36" s="8" t="n">
        <v>10000000</v>
      </c>
      <c r="C36" s="3" t="s">
        <v>60</v>
      </c>
      <c r="D36" s="9" t="s">
        <v>103</v>
      </c>
    </row>
    <row r="37" customFormat="false" ht="35.05" hidden="false" customHeight="false" outlineLevel="0" collapsed="false">
      <c r="A37" s="3" t="s">
        <v>104</v>
      </c>
      <c r="B37" s="8" t="n">
        <v>8000000</v>
      </c>
      <c r="C37" s="3" t="s">
        <v>60</v>
      </c>
      <c r="D37" s="9" t="s">
        <v>105</v>
      </c>
    </row>
    <row r="38" customFormat="false" ht="15" hidden="false" customHeight="false" outlineLevel="0" collapsed="false">
      <c r="A38" s="3" t="s">
        <v>106</v>
      </c>
      <c r="B38" s="8" t="n">
        <v>3000000</v>
      </c>
      <c r="C38" s="3" t="s">
        <v>60</v>
      </c>
      <c r="D38" s="9"/>
    </row>
    <row r="39" customFormat="false" ht="15" hidden="false" customHeight="false" outlineLevel="0" collapsed="false">
      <c r="A39" s="3" t="s">
        <v>107</v>
      </c>
      <c r="B39" s="8" t="n">
        <v>1500000</v>
      </c>
      <c r="C39" s="3" t="s">
        <v>60</v>
      </c>
      <c r="D39" s="9"/>
    </row>
    <row r="40" customFormat="false" ht="15" hidden="false" customHeight="false" outlineLevel="0" collapsed="false">
      <c r="A40" s="3" t="s">
        <v>108</v>
      </c>
      <c r="B40" s="8" t="n">
        <v>1000000</v>
      </c>
      <c r="C40" s="3" t="s">
        <v>60</v>
      </c>
      <c r="D40" s="9"/>
    </row>
    <row r="41" customFormat="false" ht="15" hidden="false" customHeight="false" outlineLevel="0" collapsed="false">
      <c r="A41" s="3" t="s">
        <v>109</v>
      </c>
      <c r="B41" s="8" t="n">
        <v>2500000</v>
      </c>
      <c r="C41" s="3" t="s">
        <v>60</v>
      </c>
      <c r="D41" s="9" t="s">
        <v>110</v>
      </c>
    </row>
    <row r="42" customFormat="false" ht="23.85" hidden="false" customHeight="false" outlineLevel="0" collapsed="false">
      <c r="A42" s="3" t="s">
        <v>111</v>
      </c>
      <c r="B42" s="8" t="n">
        <v>8</v>
      </c>
      <c r="C42" s="3" t="s">
        <v>112</v>
      </c>
      <c r="D42" s="9" t="s">
        <v>113</v>
      </c>
    </row>
    <row r="43" customFormat="false" ht="23.85" hidden="false" customHeight="false" outlineLevel="0" collapsed="false">
      <c r="A43" s="3" t="s">
        <v>114</v>
      </c>
      <c r="B43" s="8" t="n">
        <v>6</v>
      </c>
      <c r="C43" s="3" t="s">
        <v>115</v>
      </c>
      <c r="D43" s="9" t="s">
        <v>116</v>
      </c>
    </row>
    <row r="44" customFormat="false" ht="23.85" hidden="false" customHeight="false" outlineLevel="0" collapsed="false">
      <c r="A44" s="3" t="s">
        <v>117</v>
      </c>
      <c r="B44" s="10" t="n">
        <v>0.16</v>
      </c>
      <c r="C44" s="3" t="s">
        <v>118</v>
      </c>
      <c r="D44" s="9" t="s">
        <v>119</v>
      </c>
    </row>
    <row r="45" customFormat="false" ht="15" hidden="false" customHeight="false" outlineLevel="0" collapsed="false">
      <c r="A45" s="3" t="s">
        <v>120</v>
      </c>
      <c r="B45" s="8" t="n">
        <v>4</v>
      </c>
      <c r="C45" s="3" t="s">
        <v>112</v>
      </c>
      <c r="D45" s="9" t="s">
        <v>121</v>
      </c>
    </row>
    <row r="47" customFormat="false" ht="15" hidden="false" customHeight="false" outlineLevel="0" collapsed="false">
      <c r="A47" s="6" t="s">
        <v>122</v>
      </c>
      <c r="B47" s="7"/>
      <c r="C47" s="7"/>
      <c r="D47" s="7"/>
    </row>
    <row r="48" customFormat="false" ht="15" hidden="false" customHeight="false" outlineLevel="0" collapsed="false">
      <c r="A48" s="3" t="s">
        <v>123</v>
      </c>
      <c r="B48" s="8" t="n">
        <v>35</v>
      </c>
      <c r="C48" s="3" t="s">
        <v>124</v>
      </c>
      <c r="D48" s="9" t="s">
        <v>125</v>
      </c>
    </row>
    <row r="49" customFormat="false" ht="15" hidden="false" customHeight="false" outlineLevel="0" collapsed="false">
      <c r="A49" s="3" t="s">
        <v>126</v>
      </c>
      <c r="B49" s="10" t="n">
        <v>0.5</v>
      </c>
      <c r="C49" s="3" t="s">
        <v>47</v>
      </c>
      <c r="D49" s="9" t="s">
        <v>127</v>
      </c>
    </row>
    <row r="51" customFormat="false" ht="15" hidden="false" customHeight="false" outlineLevel="0" collapsed="false">
      <c r="A51" s="6" t="s">
        <v>128</v>
      </c>
      <c r="B51" s="7"/>
      <c r="C51" s="7"/>
      <c r="D51" s="7"/>
    </row>
    <row r="52" customFormat="false" ht="15" hidden="false" customHeight="false" outlineLevel="0" collapsed="false">
      <c r="A52" s="3" t="s">
        <v>129</v>
      </c>
      <c r="B52" s="13" t="n">
        <v>0.75</v>
      </c>
      <c r="C52" s="3" t="s">
        <v>130</v>
      </c>
      <c r="D52" s="9" t="s">
        <v>131</v>
      </c>
    </row>
    <row r="53" customFormat="false" ht="15" hidden="false" customHeight="false" outlineLevel="0" collapsed="false">
      <c r="A53" s="3" t="s">
        <v>132</v>
      </c>
      <c r="B53" s="13" t="n">
        <v>0.8</v>
      </c>
      <c r="C53" s="3" t="s">
        <v>130</v>
      </c>
      <c r="D53" s="9" t="s">
        <v>133</v>
      </c>
    </row>
    <row r="54" customFormat="false" ht="15" hidden="false" customHeight="false" outlineLevel="0" collapsed="false">
      <c r="A54" s="3" t="s">
        <v>134</v>
      </c>
      <c r="B54" s="13" t="n">
        <v>0.9</v>
      </c>
      <c r="C54" s="3" t="s">
        <v>130</v>
      </c>
      <c r="D54" s="9" t="s">
        <v>135</v>
      </c>
    </row>
    <row r="55" customFormat="false" ht="15" hidden="false" customHeight="false" outlineLevel="0" collapsed="false">
      <c r="A55" s="3" t="s">
        <v>136</v>
      </c>
      <c r="B55" s="13" t="n">
        <v>1</v>
      </c>
      <c r="C55" s="3" t="s">
        <v>130</v>
      </c>
      <c r="D55" s="9" t="s">
        <v>137</v>
      </c>
    </row>
    <row r="56" customFormat="false" ht="15" hidden="false" customHeight="false" outlineLevel="0" collapsed="false">
      <c r="A56" s="3" t="s">
        <v>138</v>
      </c>
      <c r="B56" s="13" t="n">
        <v>1.05</v>
      </c>
      <c r="C56" s="3" t="s">
        <v>130</v>
      </c>
      <c r="D56" s="9" t="s">
        <v>139</v>
      </c>
    </row>
    <row r="57" customFormat="false" ht="15" hidden="false" customHeight="false" outlineLevel="0" collapsed="false">
      <c r="A57" s="3" t="s">
        <v>140</v>
      </c>
      <c r="B57" s="13" t="n">
        <v>1.1</v>
      </c>
      <c r="C57" s="3" t="s">
        <v>130</v>
      </c>
      <c r="D57" s="9" t="s">
        <v>141</v>
      </c>
    </row>
    <row r="58" customFormat="false" ht="15" hidden="false" customHeight="false" outlineLevel="0" collapsed="false">
      <c r="A58" s="3" t="s">
        <v>142</v>
      </c>
      <c r="B58" s="13" t="n">
        <v>1.15</v>
      </c>
      <c r="C58" s="3" t="s">
        <v>130</v>
      </c>
      <c r="D58" s="9" t="s">
        <v>143</v>
      </c>
    </row>
    <row r="59" customFormat="false" ht="15" hidden="false" customHeight="false" outlineLevel="0" collapsed="false">
      <c r="A59" s="3" t="s">
        <v>144</v>
      </c>
      <c r="B59" s="13" t="n">
        <v>1.1</v>
      </c>
      <c r="C59" s="3" t="s">
        <v>130</v>
      </c>
      <c r="D59" s="9" t="s">
        <v>145</v>
      </c>
    </row>
    <row r="60" customFormat="false" ht="15" hidden="false" customHeight="false" outlineLevel="0" collapsed="false">
      <c r="A60" s="3" t="s">
        <v>146</v>
      </c>
      <c r="B60" s="13" t="n">
        <v>1.05</v>
      </c>
      <c r="C60" s="3" t="s">
        <v>130</v>
      </c>
      <c r="D60" s="9" t="s">
        <v>147</v>
      </c>
    </row>
    <row r="61" customFormat="false" ht="15" hidden="false" customHeight="false" outlineLevel="0" collapsed="false">
      <c r="A61" s="3" t="s">
        <v>148</v>
      </c>
      <c r="B61" s="13" t="n">
        <v>1</v>
      </c>
      <c r="C61" s="3" t="s">
        <v>130</v>
      </c>
      <c r="D61" s="9" t="s">
        <v>137</v>
      </c>
    </row>
    <row r="62" customFormat="false" ht="15" hidden="false" customHeight="false" outlineLevel="0" collapsed="false">
      <c r="A62" s="3" t="s">
        <v>149</v>
      </c>
      <c r="B62" s="13" t="n">
        <v>0.9</v>
      </c>
      <c r="C62" s="3" t="s">
        <v>130</v>
      </c>
      <c r="D62" s="9" t="s">
        <v>150</v>
      </c>
    </row>
    <row r="63" customFormat="false" ht="15" hidden="false" customHeight="false" outlineLevel="0" collapsed="false">
      <c r="A63" s="3" t="s">
        <v>151</v>
      </c>
      <c r="B63" s="13" t="n">
        <v>0.8</v>
      </c>
      <c r="C63" s="3" t="s">
        <v>130</v>
      </c>
      <c r="D63" s="9" t="s">
        <v>152</v>
      </c>
    </row>
  </sheetData>
  <dataValidations count="1">
    <dataValidation allowBlank="false" error="Введите 1 (упрощёнка) или 2 (общий режим)" errorStyle="stop" operator="between" showDropDown="false" showErrorMessage="false" showInputMessage="false" sqref="B21" type="whole">
      <formula1>1</formula1>
      <formula2>2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13" min="2" style="0" width="11"/>
    <col collapsed="false" customWidth="true" hidden="false" outlineLevel="0" max="14" min="14" style="0" width="14"/>
    <col collapsed="false" customWidth="true" hidden="false" outlineLevel="0" max="15" min="15" style="0" width="56"/>
  </cols>
  <sheetData>
    <row r="1" customFormat="false" ht="17.35" hidden="false" customHeight="false" outlineLevel="0" collapsed="false">
      <c r="A1" s="1" t="s">
        <v>153</v>
      </c>
    </row>
    <row r="2" customFormat="false" ht="15" hidden="false" customHeight="false" outlineLevel="0" collapsed="false">
      <c r="A2" s="2" t="s">
        <v>154</v>
      </c>
    </row>
    <row r="3" customFormat="false" ht="15" hidden="false" customHeight="false" outlineLevel="0" collapsed="false">
      <c r="A3" s="5" t="s">
        <v>35</v>
      </c>
      <c r="B3" s="5" t="s">
        <v>155</v>
      </c>
      <c r="C3" s="5" t="s">
        <v>156</v>
      </c>
      <c r="D3" s="5" t="s">
        <v>157</v>
      </c>
      <c r="E3" s="5" t="s">
        <v>158</v>
      </c>
      <c r="F3" s="5" t="s">
        <v>159</v>
      </c>
      <c r="G3" s="5" t="s">
        <v>160</v>
      </c>
      <c r="H3" s="5" t="s">
        <v>161</v>
      </c>
      <c r="I3" s="5" t="s">
        <v>162</v>
      </c>
      <c r="J3" s="5" t="s">
        <v>163</v>
      </c>
      <c r="K3" s="5" t="s">
        <v>164</v>
      </c>
      <c r="L3" s="5" t="s">
        <v>165</v>
      </c>
      <c r="M3" s="5" t="s">
        <v>166</v>
      </c>
      <c r="N3" s="5" t="s">
        <v>167</v>
      </c>
      <c r="O3" s="5" t="s">
        <v>168</v>
      </c>
    </row>
    <row r="4" customFormat="false" ht="15" hidden="false" customHeight="false" outlineLevel="0" collapsed="false">
      <c r="A4" s="6" t="s">
        <v>169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customFormat="false" ht="15" hidden="false" customHeight="false" outlineLevel="0" collapsed="false">
      <c r="A5" s="3" t="s">
        <v>170</v>
      </c>
      <c r="B5" s="14" t="n">
        <f aca="false">Допущения!$B$52</f>
        <v>0.75</v>
      </c>
      <c r="C5" s="14" t="n">
        <f aca="false">Допущения!$B$53</f>
        <v>0.8</v>
      </c>
      <c r="D5" s="14" t="n">
        <f aca="false">Допущения!$B$54</f>
        <v>0.9</v>
      </c>
      <c r="E5" s="14" t="n">
        <f aca="false">Допущения!$B$55</f>
        <v>1</v>
      </c>
      <c r="F5" s="14" t="n">
        <f aca="false">Допущения!$B$56</f>
        <v>1.05</v>
      </c>
      <c r="G5" s="14" t="n">
        <f aca="false">Допущения!$B$57</f>
        <v>1.1</v>
      </c>
      <c r="H5" s="14" t="n">
        <f aca="false">Допущения!$B$58</f>
        <v>1.15</v>
      </c>
      <c r="I5" s="14" t="n">
        <f aca="false">Допущения!$B$59</f>
        <v>1.1</v>
      </c>
      <c r="J5" s="14" t="n">
        <f aca="false">Допущения!$B$60</f>
        <v>1.05</v>
      </c>
      <c r="K5" s="14" t="n">
        <f aca="false">Допущения!$B$61</f>
        <v>1</v>
      </c>
      <c r="L5" s="14" t="n">
        <f aca="false">Допущения!$B$62</f>
        <v>0.9</v>
      </c>
      <c r="M5" s="14" t="n">
        <f aca="false">Допущения!$B$63</f>
        <v>0.8</v>
      </c>
      <c r="N5" s="15" t="n">
        <f aca="false">AVERAGE(B5:M5)</f>
        <v>0.966666666666667</v>
      </c>
      <c r="O5" s="16" t="s">
        <v>171</v>
      </c>
    </row>
    <row r="6" customFormat="false" ht="15" hidden="false" customHeight="false" outlineLevel="0" collapsed="false">
      <c r="A6" s="3" t="s">
        <v>172</v>
      </c>
      <c r="B6" s="17" t="n">
        <f aca="false">ROUND(Безубыток!$B$37*Допущения!$B$7*B5,0)</f>
        <v>9720</v>
      </c>
      <c r="C6" s="17" t="n">
        <f aca="false">ROUND(Безубыток!$B$37*Допущения!$B$7*C5,0)</f>
        <v>10368</v>
      </c>
      <c r="D6" s="17" t="n">
        <f aca="false">ROUND(Безубыток!$B$37*Допущения!$B$7*D5,0)</f>
        <v>11664</v>
      </c>
      <c r="E6" s="17" t="n">
        <f aca="false">ROUND(Безубыток!$B$37*Допущения!$B$7*E5,0)</f>
        <v>12960</v>
      </c>
      <c r="F6" s="17" t="n">
        <f aca="false">ROUND(Безубыток!$B$37*Допущения!$B$7*F5,0)</f>
        <v>13608</v>
      </c>
      <c r="G6" s="17" t="n">
        <f aca="false">ROUND(Безубыток!$B$37*Допущения!$B$7*G5,0)</f>
        <v>14256</v>
      </c>
      <c r="H6" s="17" t="n">
        <f aca="false">ROUND(Безубыток!$B$37*Допущения!$B$7*H5,0)</f>
        <v>14904</v>
      </c>
      <c r="I6" s="17" t="n">
        <f aca="false">ROUND(Безубыток!$B$37*Допущения!$B$7*I5,0)</f>
        <v>14256</v>
      </c>
      <c r="J6" s="17" t="n">
        <f aca="false">ROUND(Безубыток!$B$37*Допущения!$B$7*J5,0)</f>
        <v>13608</v>
      </c>
      <c r="K6" s="17" t="n">
        <f aca="false">ROUND(Безубыток!$B$37*Допущения!$B$7*K5,0)</f>
        <v>12960</v>
      </c>
      <c r="L6" s="17" t="n">
        <f aca="false">ROUND(Безубыток!$B$37*Допущения!$B$7*L5,0)</f>
        <v>11664</v>
      </c>
      <c r="M6" s="17" t="n">
        <f aca="false">ROUND(Безубыток!$B$37*Допущения!$B$7*M5,0)</f>
        <v>10368</v>
      </c>
      <c r="N6" s="18" t="n">
        <f aca="false">SUM(B6:M6)</f>
        <v>150336</v>
      </c>
      <c r="O6" s="16" t="s">
        <v>173</v>
      </c>
    </row>
    <row r="7" customFormat="false" ht="15" hidden="false" customHeight="false" outlineLevel="0" collapsed="false">
      <c r="A7" s="3" t="s">
        <v>174</v>
      </c>
      <c r="B7" s="17" t="n">
        <f aca="false">ROUND(B6/Допущения!$B$8,0)</f>
        <v>486</v>
      </c>
      <c r="C7" s="17" t="n">
        <f aca="false">ROUND(C6/Допущения!$B$8,0)</f>
        <v>518</v>
      </c>
      <c r="D7" s="17" t="n">
        <f aca="false">ROUND(D6/Допущения!$B$8,0)</f>
        <v>583</v>
      </c>
      <c r="E7" s="17" t="n">
        <f aca="false">ROUND(E6/Допущения!$B$8,0)</f>
        <v>648</v>
      </c>
      <c r="F7" s="17" t="n">
        <f aca="false">ROUND(F6/Допущения!$B$8,0)</f>
        <v>680</v>
      </c>
      <c r="G7" s="17" t="n">
        <f aca="false">ROUND(G6/Допущения!$B$8,0)</f>
        <v>713</v>
      </c>
      <c r="H7" s="17" t="n">
        <f aca="false">ROUND(H6/Допущения!$B$8,0)</f>
        <v>745</v>
      </c>
      <c r="I7" s="17" t="n">
        <f aca="false">ROUND(I6/Допущения!$B$8,0)</f>
        <v>713</v>
      </c>
      <c r="J7" s="17" t="n">
        <f aca="false">ROUND(J6/Допущения!$B$8,0)</f>
        <v>680</v>
      </c>
      <c r="K7" s="17" t="n">
        <f aca="false">ROUND(K6/Допущения!$B$8,0)</f>
        <v>648</v>
      </c>
      <c r="L7" s="17" t="n">
        <f aca="false">ROUND(L6/Допущения!$B$8,0)</f>
        <v>583</v>
      </c>
      <c r="M7" s="17" t="n">
        <f aca="false">ROUND(M6/Допущения!$B$8,0)</f>
        <v>518</v>
      </c>
      <c r="N7" s="18" t="n">
        <f aca="false">SUM(B7:M7)</f>
        <v>7515</v>
      </c>
      <c r="O7" s="16" t="s">
        <v>175</v>
      </c>
    </row>
    <row r="8" customFormat="false" ht="15" hidden="false" customHeight="false" outlineLevel="0" collapsed="false">
      <c r="A8" s="3" t="s">
        <v>176</v>
      </c>
      <c r="B8" s="17" t="n">
        <f aca="false">ROUND(B7/Допущения!$B$10,0)</f>
        <v>16</v>
      </c>
      <c r="C8" s="17" t="n">
        <f aca="false">ROUND(C7/Допущения!$B$10,0)</f>
        <v>17</v>
      </c>
      <c r="D8" s="17" t="n">
        <f aca="false">ROUND(D7/Допущения!$B$10,0)</f>
        <v>19</v>
      </c>
      <c r="E8" s="17" t="n">
        <f aca="false">ROUND(E7/Допущения!$B$10,0)</f>
        <v>22</v>
      </c>
      <c r="F8" s="17" t="n">
        <f aca="false">ROUND(F7/Допущения!$B$10,0)</f>
        <v>23</v>
      </c>
      <c r="G8" s="17" t="n">
        <f aca="false">ROUND(G7/Допущения!$B$10,0)</f>
        <v>24</v>
      </c>
      <c r="H8" s="17" t="n">
        <f aca="false">ROUND(H7/Допущения!$B$10,0)</f>
        <v>25</v>
      </c>
      <c r="I8" s="17" t="n">
        <f aca="false">ROUND(I7/Допущения!$B$10,0)</f>
        <v>24</v>
      </c>
      <c r="J8" s="17" t="n">
        <f aca="false">ROUND(J7/Допущения!$B$10,0)</f>
        <v>23</v>
      </c>
      <c r="K8" s="17" t="n">
        <f aca="false">ROUND(K7/Допущения!$B$10,0)</f>
        <v>22</v>
      </c>
      <c r="L8" s="17" t="n">
        <f aca="false">ROUND(L7/Допущения!$B$10,0)</f>
        <v>19</v>
      </c>
      <c r="M8" s="17" t="n">
        <f aca="false">ROUND(M7/Допущения!$B$10,0)</f>
        <v>17</v>
      </c>
      <c r="N8" s="18" t="n">
        <f aca="false">AVERAGE(B8:M8)</f>
        <v>20.9166666666667</v>
      </c>
      <c r="O8" s="16" t="s">
        <v>177</v>
      </c>
    </row>
    <row r="9" customFormat="false" ht="15" hidden="false" customHeight="false" outlineLevel="0" collapsed="false">
      <c r="A9" s="3" t="s">
        <v>178</v>
      </c>
      <c r="B9" s="17" t="n">
        <f aca="false">ROUND(B6/(1-Допущения!$B$16),0)</f>
        <v>10232</v>
      </c>
      <c r="C9" s="17" t="n">
        <f aca="false">ROUND(C6/(1-Допущения!$B$16),0)</f>
        <v>10914</v>
      </c>
      <c r="D9" s="17" t="n">
        <f aca="false">ROUND(D6/(1-Допущения!$B$16),0)</f>
        <v>12278</v>
      </c>
      <c r="E9" s="17" t="n">
        <f aca="false">ROUND(E6/(1-Допущения!$B$16),0)</f>
        <v>13642</v>
      </c>
      <c r="F9" s="17" t="n">
        <f aca="false">ROUND(F6/(1-Допущения!$B$16),0)</f>
        <v>14324</v>
      </c>
      <c r="G9" s="17" t="n">
        <f aca="false">ROUND(G6/(1-Допущения!$B$16),0)</f>
        <v>15006</v>
      </c>
      <c r="H9" s="17" t="n">
        <f aca="false">ROUND(H6/(1-Допущения!$B$16),0)</f>
        <v>15688</v>
      </c>
      <c r="I9" s="17" t="n">
        <f aca="false">ROUND(I6/(1-Допущения!$B$16),0)</f>
        <v>15006</v>
      </c>
      <c r="J9" s="17" t="n">
        <f aca="false">ROUND(J6/(1-Допущения!$B$16),0)</f>
        <v>14324</v>
      </c>
      <c r="K9" s="17" t="n">
        <f aca="false">ROUND(K6/(1-Допущения!$B$16),0)</f>
        <v>13642</v>
      </c>
      <c r="L9" s="17" t="n">
        <f aca="false">ROUND(L6/(1-Допущения!$B$16),0)</f>
        <v>12278</v>
      </c>
      <c r="M9" s="17" t="n">
        <f aca="false">ROUND(M6/(1-Допущения!$B$16),0)</f>
        <v>10914</v>
      </c>
      <c r="N9" s="18" t="n">
        <f aca="false">SUM(B9:M9)</f>
        <v>158248</v>
      </c>
      <c r="O9" s="16" t="s">
        <v>179</v>
      </c>
    </row>
    <row r="10" customFormat="false" ht="15" hidden="false" customHeight="false" outlineLevel="0" collapsed="false">
      <c r="A10" s="6" t="s">
        <v>180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customFormat="false" ht="15" hidden="false" customHeight="false" outlineLevel="0" collapsed="false">
      <c r="A11" s="19" t="s">
        <v>181</v>
      </c>
      <c r="B11" s="18" t="n">
        <f aca="false">B6*Допущения!$B$13</f>
        <v>777600</v>
      </c>
      <c r="C11" s="18" t="n">
        <f aca="false">C6*Допущения!$B$13</f>
        <v>829440</v>
      </c>
      <c r="D11" s="18" t="n">
        <f aca="false">D6*Допущения!$B$13</f>
        <v>933120</v>
      </c>
      <c r="E11" s="18" t="n">
        <f aca="false">E6*Допущения!$B$13</f>
        <v>1036800</v>
      </c>
      <c r="F11" s="18" t="n">
        <f aca="false">F6*Допущения!$B$13</f>
        <v>1088640</v>
      </c>
      <c r="G11" s="18" t="n">
        <f aca="false">G6*Допущения!$B$13</f>
        <v>1140480</v>
      </c>
      <c r="H11" s="18" t="n">
        <f aca="false">H6*Допущения!$B$13</f>
        <v>1192320</v>
      </c>
      <c r="I11" s="18" t="n">
        <f aca="false">I6*Допущения!$B$13</f>
        <v>1140480</v>
      </c>
      <c r="J11" s="18" t="n">
        <f aca="false">J6*Допущения!$B$13</f>
        <v>1088640</v>
      </c>
      <c r="K11" s="18" t="n">
        <f aca="false">K6*Допущения!$B$13</f>
        <v>1036800</v>
      </c>
      <c r="L11" s="18" t="n">
        <f aca="false">L6*Допущения!$B$13</f>
        <v>933120</v>
      </c>
      <c r="M11" s="18" t="n">
        <f aca="false">M6*Допущения!$B$13</f>
        <v>829440</v>
      </c>
      <c r="N11" s="18" t="n">
        <f aca="false">SUM(B11:M11)</f>
        <v>12026880</v>
      </c>
      <c r="O11" s="16" t="s">
        <v>182</v>
      </c>
    </row>
    <row r="12" customFormat="false" ht="15" hidden="false" customHeight="false" outlineLevel="0" collapsed="false">
      <c r="A12" s="6" t="s">
        <v>183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customFormat="false" ht="15" hidden="false" customHeight="false" outlineLevel="0" collapsed="false">
      <c r="A13" s="3" t="s">
        <v>184</v>
      </c>
      <c r="B13" s="17" t="n">
        <f aca="false">B9*Безубыток!$B$30</f>
        <v>423964.9664</v>
      </c>
      <c r="C13" s="17" t="n">
        <f aca="false">C9*Безубыток!$B$30</f>
        <v>452223.7728</v>
      </c>
      <c r="D13" s="17" t="n">
        <f aca="false">D9*Безубыток!$B$30</f>
        <v>508741.3856</v>
      </c>
      <c r="E13" s="17" t="n">
        <f aca="false">E9*Безубыток!$B$30</f>
        <v>565258.9984</v>
      </c>
      <c r="F13" s="17" t="n">
        <f aca="false">F9*Безубыток!$B$30</f>
        <v>593517.8048</v>
      </c>
      <c r="G13" s="17" t="n">
        <f aca="false">G9*Безубыток!$B$30</f>
        <v>621776.6112</v>
      </c>
      <c r="H13" s="17" t="n">
        <f aca="false">H9*Безубыток!$B$30</f>
        <v>650035.4176</v>
      </c>
      <c r="I13" s="17" t="n">
        <f aca="false">I9*Безубыток!$B$30</f>
        <v>621776.6112</v>
      </c>
      <c r="J13" s="17" t="n">
        <f aca="false">J9*Безубыток!$B$30</f>
        <v>593517.8048</v>
      </c>
      <c r="K13" s="17" t="n">
        <f aca="false">K9*Безубыток!$B$30</f>
        <v>565258.9984</v>
      </c>
      <c r="L13" s="17" t="n">
        <f aca="false">L9*Безубыток!$B$30</f>
        <v>508741.3856</v>
      </c>
      <c r="M13" s="17" t="n">
        <f aca="false">M9*Безубыток!$B$30</f>
        <v>452223.7728</v>
      </c>
      <c r="N13" s="18" t="n">
        <f aca="false">SUM(B13:M13)</f>
        <v>6557037.5296</v>
      </c>
      <c r="O13" s="16" t="s">
        <v>185</v>
      </c>
    </row>
    <row r="14" customFormat="false" ht="15" hidden="false" customHeight="false" outlineLevel="0" collapsed="false">
      <c r="A14" s="3" t="s">
        <v>186</v>
      </c>
      <c r="B14" s="17" t="n">
        <f aca="false">B11*Допущения!$B$17*Допущения!$B$18</f>
        <v>11664</v>
      </c>
      <c r="C14" s="17" t="n">
        <f aca="false">C11*Допущения!$B$17*Допущения!$B$18</f>
        <v>12441.6</v>
      </c>
      <c r="D14" s="17" t="n">
        <f aca="false">D11*Допущения!$B$17*Допущения!$B$18</f>
        <v>13996.8</v>
      </c>
      <c r="E14" s="17" t="n">
        <f aca="false">E11*Допущения!$B$17*Допущения!$B$18</f>
        <v>15552</v>
      </c>
      <c r="F14" s="17" t="n">
        <f aca="false">F11*Допущения!$B$17*Допущения!$B$18</f>
        <v>16329.6</v>
      </c>
      <c r="G14" s="17" t="n">
        <f aca="false">G11*Допущения!$B$17*Допущения!$B$18</f>
        <v>17107.2</v>
      </c>
      <c r="H14" s="17" t="n">
        <f aca="false">H11*Допущения!$B$17*Допущения!$B$18</f>
        <v>17884.8</v>
      </c>
      <c r="I14" s="17" t="n">
        <f aca="false">I11*Допущения!$B$17*Допущения!$B$18</f>
        <v>17107.2</v>
      </c>
      <c r="J14" s="17" t="n">
        <f aca="false">J11*Допущения!$B$17*Допущения!$B$18</f>
        <v>16329.6</v>
      </c>
      <c r="K14" s="17" t="n">
        <f aca="false">K11*Допущения!$B$17*Допущения!$B$18</f>
        <v>15552</v>
      </c>
      <c r="L14" s="17" t="n">
        <f aca="false">L11*Допущения!$B$17*Допущения!$B$18</f>
        <v>13996.8</v>
      </c>
      <c r="M14" s="17" t="n">
        <f aca="false">M11*Допущения!$B$17*Допущения!$B$18</f>
        <v>12441.6</v>
      </c>
      <c r="N14" s="18" t="n">
        <f aca="false">SUM(B14:M14)</f>
        <v>180403.2</v>
      </c>
      <c r="O14" s="16" t="s">
        <v>187</v>
      </c>
    </row>
    <row r="15" customFormat="false" ht="15" hidden="false" customHeight="false" outlineLevel="0" collapsed="false">
      <c r="A15" s="19" t="s">
        <v>188</v>
      </c>
      <c r="B15" s="20" t="n">
        <f aca="false">B13+B14</f>
        <v>435628.9664</v>
      </c>
      <c r="C15" s="20" t="n">
        <f aca="false">C13+C14</f>
        <v>464665.3728</v>
      </c>
      <c r="D15" s="20" t="n">
        <f aca="false">D13+D14</f>
        <v>522738.1856</v>
      </c>
      <c r="E15" s="20" t="n">
        <f aca="false">E13+E14</f>
        <v>580810.9984</v>
      </c>
      <c r="F15" s="20" t="n">
        <f aca="false">F13+F14</f>
        <v>609847.4048</v>
      </c>
      <c r="G15" s="20" t="n">
        <f aca="false">G13+G14</f>
        <v>638883.8112</v>
      </c>
      <c r="H15" s="20" t="n">
        <f aca="false">H13+H14</f>
        <v>667920.2176</v>
      </c>
      <c r="I15" s="20" t="n">
        <f aca="false">I13+I14</f>
        <v>638883.8112</v>
      </c>
      <c r="J15" s="20" t="n">
        <f aca="false">J13+J14</f>
        <v>609847.4048</v>
      </c>
      <c r="K15" s="20" t="n">
        <f aca="false">K13+K14</f>
        <v>580810.9984</v>
      </c>
      <c r="L15" s="20" t="n">
        <f aca="false">L13+L14</f>
        <v>522738.1856</v>
      </c>
      <c r="M15" s="20" t="n">
        <f aca="false">M13+M14</f>
        <v>464665.3728</v>
      </c>
      <c r="N15" s="18" t="n">
        <f aca="false">SUM(B15:M15)</f>
        <v>6737440.7296</v>
      </c>
      <c r="O15" s="16" t="s">
        <v>189</v>
      </c>
    </row>
    <row r="16" customFormat="false" ht="15" hidden="false" customHeight="false" outlineLevel="0" collapsed="false">
      <c r="A16" s="19" t="s">
        <v>190</v>
      </c>
      <c r="B16" s="18" t="n">
        <f aca="false">B11-B15</f>
        <v>341971.0336</v>
      </c>
      <c r="C16" s="18" t="n">
        <f aca="false">C11-C15</f>
        <v>364774.6272</v>
      </c>
      <c r="D16" s="18" t="n">
        <f aca="false">D11-D15</f>
        <v>410381.8144</v>
      </c>
      <c r="E16" s="18" t="n">
        <f aca="false">E11-E15</f>
        <v>455989.0016</v>
      </c>
      <c r="F16" s="18" t="n">
        <f aca="false">F11-F15</f>
        <v>478792.5952</v>
      </c>
      <c r="G16" s="18" t="n">
        <f aca="false">G11-G15</f>
        <v>501596.1888</v>
      </c>
      <c r="H16" s="18" t="n">
        <f aca="false">H11-H15</f>
        <v>524399.7824</v>
      </c>
      <c r="I16" s="18" t="n">
        <f aca="false">I11-I15</f>
        <v>501596.1888</v>
      </c>
      <c r="J16" s="18" t="n">
        <f aca="false">J11-J15</f>
        <v>478792.5952</v>
      </c>
      <c r="K16" s="18" t="n">
        <f aca="false">K11-K15</f>
        <v>455989.0016</v>
      </c>
      <c r="L16" s="18" t="n">
        <f aca="false">L11-L15</f>
        <v>410381.8144</v>
      </c>
      <c r="M16" s="18" t="n">
        <f aca="false">M11-M15</f>
        <v>364774.6272</v>
      </c>
      <c r="N16" s="18" t="n">
        <f aca="false">SUM(B16:M16)</f>
        <v>5289439.2704</v>
      </c>
      <c r="O16" s="16" t="s">
        <v>191</v>
      </c>
    </row>
    <row r="17" customFormat="false" ht="15" hidden="false" customHeight="false" outlineLevel="0" collapsed="false">
      <c r="A17" s="6" t="s">
        <v>192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customFormat="false" ht="15" hidden="false" customHeight="false" outlineLevel="0" collapsed="false">
      <c r="A18" s="3" t="s">
        <v>193</v>
      </c>
      <c r="B18" s="17" t="n">
        <f aca="false">Безубыток!$B$19</f>
        <v>150000</v>
      </c>
      <c r="C18" s="17" t="n">
        <f aca="false">Безубыток!$B$19</f>
        <v>150000</v>
      </c>
      <c r="D18" s="17" t="n">
        <f aca="false">Безубыток!$B$19</f>
        <v>150000</v>
      </c>
      <c r="E18" s="17" t="n">
        <f aca="false">Безубыток!$B$19</f>
        <v>150000</v>
      </c>
      <c r="F18" s="17" t="n">
        <f aca="false">Безубыток!$B$19</f>
        <v>150000</v>
      </c>
      <c r="G18" s="17" t="n">
        <f aca="false">Безубыток!$B$19</f>
        <v>150000</v>
      </c>
      <c r="H18" s="17" t="n">
        <f aca="false">Безубыток!$B$19</f>
        <v>150000</v>
      </c>
      <c r="I18" s="17" t="n">
        <f aca="false">Безубыток!$B$19</f>
        <v>150000</v>
      </c>
      <c r="J18" s="17" t="n">
        <f aca="false">Безубыток!$B$19</f>
        <v>150000</v>
      </c>
      <c r="K18" s="17" t="n">
        <f aca="false">Безубыток!$B$19</f>
        <v>150000</v>
      </c>
      <c r="L18" s="17" t="n">
        <f aca="false">Безубыток!$B$19</f>
        <v>150000</v>
      </c>
      <c r="M18" s="17" t="n">
        <f aca="false">Безубыток!$B$19</f>
        <v>150000</v>
      </c>
      <c r="N18" s="18" t="n">
        <f aca="false">SUM(B18:M18)</f>
        <v>1800000</v>
      </c>
      <c r="O18" s="16" t="s">
        <v>194</v>
      </c>
    </row>
    <row r="19" customFormat="false" ht="15" hidden="false" customHeight="false" outlineLevel="0" collapsed="false">
      <c r="A19" s="3" t="s">
        <v>195</v>
      </c>
      <c r="B19" s="17" t="n">
        <f aca="false">Безубыток!$B$20</f>
        <v>30000</v>
      </c>
      <c r="C19" s="17" t="n">
        <f aca="false">Безубыток!$B$20</f>
        <v>30000</v>
      </c>
      <c r="D19" s="17" t="n">
        <f aca="false">Безубыток!$B$20</f>
        <v>30000</v>
      </c>
      <c r="E19" s="17" t="n">
        <f aca="false">Безубыток!$B$20</f>
        <v>30000</v>
      </c>
      <c r="F19" s="17" t="n">
        <f aca="false">Безубыток!$B$20</f>
        <v>30000</v>
      </c>
      <c r="G19" s="17" t="n">
        <f aca="false">Безубыток!$B$20</f>
        <v>30000</v>
      </c>
      <c r="H19" s="17" t="n">
        <f aca="false">Безубыток!$B$20</f>
        <v>30000</v>
      </c>
      <c r="I19" s="17" t="n">
        <f aca="false">Безубыток!$B$20</f>
        <v>30000</v>
      </c>
      <c r="J19" s="17" t="n">
        <f aca="false">Безубыток!$B$20</f>
        <v>30000</v>
      </c>
      <c r="K19" s="17" t="n">
        <f aca="false">Безубыток!$B$20</f>
        <v>30000</v>
      </c>
      <c r="L19" s="17" t="n">
        <f aca="false">Безубыток!$B$20</f>
        <v>30000</v>
      </c>
      <c r="M19" s="17" t="n">
        <f aca="false">Безубыток!$B$20</f>
        <v>30000</v>
      </c>
      <c r="N19" s="18" t="n">
        <f aca="false">SUM(B19:M19)</f>
        <v>360000</v>
      </c>
      <c r="O19" s="16" t="s">
        <v>196</v>
      </c>
    </row>
    <row r="20" customFormat="false" ht="15" hidden="false" customHeight="false" outlineLevel="0" collapsed="false">
      <c r="A20" s="3" t="s">
        <v>93</v>
      </c>
      <c r="B20" s="17" t="n">
        <f aca="false">Безубыток!$B$21</f>
        <v>80000</v>
      </c>
      <c r="C20" s="17" t="n">
        <f aca="false">Безубыток!$B$21</f>
        <v>80000</v>
      </c>
      <c r="D20" s="17" t="n">
        <f aca="false">Безубыток!$B$21</f>
        <v>80000</v>
      </c>
      <c r="E20" s="17" t="n">
        <f aca="false">Безубыток!$B$21</f>
        <v>80000</v>
      </c>
      <c r="F20" s="17" t="n">
        <f aca="false">Безубыток!$B$21</f>
        <v>80000</v>
      </c>
      <c r="G20" s="17" t="n">
        <f aca="false">Безубыток!$B$21</f>
        <v>80000</v>
      </c>
      <c r="H20" s="17" t="n">
        <f aca="false">Безубыток!$B$21</f>
        <v>80000</v>
      </c>
      <c r="I20" s="17" t="n">
        <f aca="false">Безубыток!$B$21</f>
        <v>80000</v>
      </c>
      <c r="J20" s="17" t="n">
        <f aca="false">Безубыток!$B$21</f>
        <v>80000</v>
      </c>
      <c r="K20" s="17" t="n">
        <f aca="false">Безубыток!$B$21</f>
        <v>80000</v>
      </c>
      <c r="L20" s="17" t="n">
        <f aca="false">Безубыток!$B$21</f>
        <v>80000</v>
      </c>
      <c r="M20" s="17" t="n">
        <f aca="false">Безубыток!$B$21</f>
        <v>80000</v>
      </c>
      <c r="N20" s="18" t="n">
        <f aca="false">SUM(B20:M20)</f>
        <v>960000</v>
      </c>
      <c r="O20" s="16" t="s">
        <v>194</v>
      </c>
    </row>
    <row r="21" customFormat="false" ht="15" hidden="false" customHeight="false" outlineLevel="0" collapsed="false">
      <c r="A21" s="3" t="s">
        <v>197</v>
      </c>
      <c r="B21" s="17" t="n">
        <f aca="false">Безубыток!$B$22</f>
        <v>60000</v>
      </c>
      <c r="C21" s="17" t="n">
        <f aca="false">Безубыток!$B$22</f>
        <v>60000</v>
      </c>
      <c r="D21" s="17" t="n">
        <f aca="false">Безубыток!$B$22</f>
        <v>60000</v>
      </c>
      <c r="E21" s="17" t="n">
        <f aca="false">Безубыток!$B$22</f>
        <v>60000</v>
      </c>
      <c r="F21" s="17" t="n">
        <f aca="false">Безубыток!$B$22</f>
        <v>60000</v>
      </c>
      <c r="G21" s="17" t="n">
        <f aca="false">Безубыток!$B$22</f>
        <v>60000</v>
      </c>
      <c r="H21" s="17" t="n">
        <f aca="false">Безубыток!$B$22</f>
        <v>60000</v>
      </c>
      <c r="I21" s="17" t="n">
        <f aca="false">Безубыток!$B$22</f>
        <v>60000</v>
      </c>
      <c r="J21" s="17" t="n">
        <f aca="false">Безубыток!$B$22</f>
        <v>60000</v>
      </c>
      <c r="K21" s="17" t="n">
        <f aca="false">Безубыток!$B$22</f>
        <v>60000</v>
      </c>
      <c r="L21" s="17" t="n">
        <f aca="false">Безубыток!$B$22</f>
        <v>60000</v>
      </c>
      <c r="M21" s="17" t="n">
        <f aca="false">Безубыток!$B$22</f>
        <v>60000</v>
      </c>
      <c r="N21" s="18" t="n">
        <f aca="false">SUM(B21:M21)</f>
        <v>720000</v>
      </c>
      <c r="O21" s="16" t="s">
        <v>194</v>
      </c>
    </row>
    <row r="22" customFormat="false" ht="15" hidden="false" customHeight="false" outlineLevel="0" collapsed="false">
      <c r="A22" s="3" t="s">
        <v>198</v>
      </c>
      <c r="B22" s="17" t="n">
        <f aca="false">Безубыток!$B$26</f>
        <v>270833.333333333</v>
      </c>
      <c r="C22" s="17" t="n">
        <f aca="false">Безубыток!$B$26</f>
        <v>270833.333333333</v>
      </c>
      <c r="D22" s="17" t="n">
        <f aca="false">Безубыток!$B$26</f>
        <v>270833.333333333</v>
      </c>
      <c r="E22" s="17" t="n">
        <f aca="false">Безубыток!$B$26</f>
        <v>270833.333333333</v>
      </c>
      <c r="F22" s="17" t="n">
        <f aca="false">Безубыток!$B$26</f>
        <v>270833.333333333</v>
      </c>
      <c r="G22" s="17" t="n">
        <f aca="false">Безубыток!$B$26</f>
        <v>270833.333333333</v>
      </c>
      <c r="H22" s="17" t="n">
        <f aca="false">Безубыток!$B$26</f>
        <v>270833.333333333</v>
      </c>
      <c r="I22" s="17" t="n">
        <f aca="false">Безубыток!$B$26</f>
        <v>270833.333333333</v>
      </c>
      <c r="J22" s="17" t="n">
        <f aca="false">Безубыток!$B$26</f>
        <v>270833.333333333</v>
      </c>
      <c r="K22" s="17" t="n">
        <f aca="false">Безубыток!$B$26</f>
        <v>270833.333333333</v>
      </c>
      <c r="L22" s="17" t="n">
        <f aca="false">Безубыток!$B$26</f>
        <v>270833.333333333</v>
      </c>
      <c r="M22" s="17" t="n">
        <f aca="false">Безубыток!$B$26</f>
        <v>270833.333333333</v>
      </c>
      <c r="N22" s="18" t="n">
        <f aca="false">SUM(B22:M22)</f>
        <v>3250000</v>
      </c>
      <c r="O22" s="16" t="s">
        <v>199</v>
      </c>
    </row>
    <row r="23" customFormat="false" ht="15" hidden="false" customHeight="false" outlineLevel="0" collapsed="false">
      <c r="A23" s="19" t="s">
        <v>200</v>
      </c>
      <c r="B23" s="18" t="n">
        <f aca="false">SUM(B18:B22)</f>
        <v>590833.333333333</v>
      </c>
      <c r="C23" s="18" t="n">
        <f aca="false">SUM(C18:C22)</f>
        <v>590833.333333333</v>
      </c>
      <c r="D23" s="18" t="n">
        <f aca="false">SUM(D18:D22)</f>
        <v>590833.333333333</v>
      </c>
      <c r="E23" s="18" t="n">
        <f aca="false">SUM(E18:E22)</f>
        <v>590833.333333333</v>
      </c>
      <c r="F23" s="18" t="n">
        <f aca="false">SUM(F18:F22)</f>
        <v>590833.333333333</v>
      </c>
      <c r="G23" s="18" t="n">
        <f aca="false">SUM(G18:G22)</f>
        <v>590833.333333333</v>
      </c>
      <c r="H23" s="18" t="n">
        <f aca="false">SUM(H18:H22)</f>
        <v>590833.333333333</v>
      </c>
      <c r="I23" s="18" t="n">
        <f aca="false">SUM(I18:I22)</f>
        <v>590833.333333333</v>
      </c>
      <c r="J23" s="18" t="n">
        <f aca="false">SUM(J18:J22)</f>
        <v>590833.333333333</v>
      </c>
      <c r="K23" s="18" t="n">
        <f aca="false">SUM(K18:K22)</f>
        <v>590833.333333333</v>
      </c>
      <c r="L23" s="18" t="n">
        <f aca="false">SUM(L18:L22)</f>
        <v>590833.333333333</v>
      </c>
      <c r="M23" s="18" t="n">
        <f aca="false">SUM(M18:M22)</f>
        <v>590833.333333333</v>
      </c>
      <c r="N23" s="18" t="n">
        <f aca="false">SUM(B23:M23)</f>
        <v>7090000</v>
      </c>
      <c r="O23" s="16" t="s">
        <v>201</v>
      </c>
    </row>
    <row r="24" customFormat="false" ht="15" hidden="false" customHeight="false" outlineLevel="0" collapsed="false">
      <c r="A24" s="6" t="s">
        <v>202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customFormat="false" ht="15" hidden="false" customHeight="false" outlineLevel="0" collapsed="false">
      <c r="A25" s="3" t="s">
        <v>203</v>
      </c>
      <c r="B25" s="17" t="n">
        <f aca="false">IF((Допущения!$B$21=1),B11*Допущения!$B$22,0)</f>
        <v>31104</v>
      </c>
      <c r="C25" s="17" t="n">
        <f aca="false">IF((Допущения!$B$21=1),C11*Допущения!$B$22,0)</f>
        <v>33177.6</v>
      </c>
      <c r="D25" s="17" t="n">
        <f aca="false">IF((Допущения!$B$21=1),D11*Допущения!$B$22,0)</f>
        <v>37324.8</v>
      </c>
      <c r="E25" s="17" t="n">
        <f aca="false">IF((Допущения!$B$21=1),E11*Допущения!$B$22,0)</f>
        <v>41472</v>
      </c>
      <c r="F25" s="17" t="n">
        <f aca="false">IF((Допущения!$B$21=1),F11*Допущения!$B$22,0)</f>
        <v>43545.6</v>
      </c>
      <c r="G25" s="17" t="n">
        <f aca="false">IF((Допущения!$B$21=1),G11*Допущения!$B$22,0)</f>
        <v>45619.2</v>
      </c>
      <c r="H25" s="17" t="n">
        <f aca="false">IF((Допущения!$B$21=1),H11*Допущения!$B$22,0)</f>
        <v>47692.8</v>
      </c>
      <c r="I25" s="17" t="n">
        <f aca="false">IF((Допущения!$B$21=1),I11*Допущения!$B$22,0)</f>
        <v>45619.2</v>
      </c>
      <c r="J25" s="17" t="n">
        <f aca="false">IF((Допущения!$B$21=1),J11*Допущения!$B$22,0)</f>
        <v>43545.6</v>
      </c>
      <c r="K25" s="17" t="n">
        <f aca="false">IF((Допущения!$B$21=1),K11*Допущения!$B$22,0)</f>
        <v>41472</v>
      </c>
      <c r="L25" s="17" t="n">
        <f aca="false">IF((Допущения!$B$21=1),L11*Допущения!$B$22,0)</f>
        <v>37324.8</v>
      </c>
      <c r="M25" s="17" t="n">
        <f aca="false">IF((Допущения!$B$21=1),M11*Допущения!$B$22,0)</f>
        <v>33177.6</v>
      </c>
      <c r="N25" s="18" t="n">
        <f aca="false">SUM(B25:M25)</f>
        <v>481075.2</v>
      </c>
      <c r="O25" s="16" t="s">
        <v>204</v>
      </c>
    </row>
    <row r="26" customFormat="false" ht="15" hidden="false" customHeight="false" outlineLevel="0" collapsed="false">
      <c r="A26" s="3" t="s">
        <v>205</v>
      </c>
      <c r="B26" s="17" t="n">
        <f aca="false">IF((Допущения!$B$21=2),B11*Допущения!$B$23/(1+Допущения!$B$23),0)</f>
        <v>0</v>
      </c>
      <c r="C26" s="17" t="n">
        <f aca="false">IF((Допущения!$B$21=2),C11*Допущения!$B$23/(1+Допущения!$B$23),0)</f>
        <v>0</v>
      </c>
      <c r="D26" s="17" t="n">
        <f aca="false">IF((Допущения!$B$21=2),D11*Допущения!$B$23/(1+Допущения!$B$23),0)</f>
        <v>0</v>
      </c>
      <c r="E26" s="17" t="n">
        <f aca="false">IF((Допущения!$B$21=2),E11*Допущения!$B$23/(1+Допущения!$B$23),0)</f>
        <v>0</v>
      </c>
      <c r="F26" s="17" t="n">
        <f aca="false">IF((Допущения!$B$21=2),F11*Допущения!$B$23/(1+Допущения!$B$23),0)</f>
        <v>0</v>
      </c>
      <c r="G26" s="17" t="n">
        <f aca="false">IF((Допущения!$B$21=2),G11*Допущения!$B$23/(1+Допущения!$B$23),0)</f>
        <v>0</v>
      </c>
      <c r="H26" s="17" t="n">
        <f aca="false">IF((Допущения!$B$21=2),H11*Допущения!$B$23/(1+Допущения!$B$23),0)</f>
        <v>0</v>
      </c>
      <c r="I26" s="17" t="n">
        <f aca="false">IF((Допущения!$B$21=2),I11*Допущения!$B$23/(1+Допущения!$B$23),0)</f>
        <v>0</v>
      </c>
      <c r="J26" s="17" t="n">
        <f aca="false">IF((Допущения!$B$21=2),J11*Допущения!$B$23/(1+Допущения!$B$23),0)</f>
        <v>0</v>
      </c>
      <c r="K26" s="17" t="n">
        <f aca="false">IF((Допущения!$B$21=2),K11*Допущения!$B$23/(1+Допущения!$B$23),0)</f>
        <v>0</v>
      </c>
      <c r="L26" s="17" t="n">
        <f aca="false">IF((Допущения!$B$21=2),L11*Допущения!$B$23/(1+Допущения!$B$23),0)</f>
        <v>0</v>
      </c>
      <c r="M26" s="17" t="n">
        <f aca="false">IF((Допущения!$B$21=2),M11*Допущения!$B$23/(1+Допущения!$B$23),0)</f>
        <v>0</v>
      </c>
      <c r="N26" s="18" t="n">
        <f aca="false">SUM(B26:M26)</f>
        <v>0</v>
      </c>
      <c r="O26" s="16" t="s">
        <v>206</v>
      </c>
    </row>
    <row r="27" customFormat="false" ht="15" hidden="false" customHeight="false" outlineLevel="0" collapsed="false">
      <c r="A27" s="3" t="s">
        <v>207</v>
      </c>
      <c r="B27" s="17" t="n">
        <f aca="false">IF((Допущения!$B$21=2),(B13+B18+B19+B20+Допущения!$B$31+Допущения!$B$32)*Допущения!$B$23/(1+Допущения!$B$23),0)</f>
        <v>0</v>
      </c>
      <c r="C27" s="17" t="n">
        <f aca="false">IF((Допущения!$B$21=2),(C13+C18+C19+C20+Допущения!$B$31+Допущения!$B$32)*Допущения!$B$23/(1+Допущения!$B$23),0)</f>
        <v>0</v>
      </c>
      <c r="D27" s="17" t="n">
        <f aca="false">IF((Допущения!$B$21=2),(D13+D18+D19+D20+Допущения!$B$31+Допущения!$B$32)*Допущения!$B$23/(1+Допущения!$B$23),0)</f>
        <v>0</v>
      </c>
      <c r="E27" s="17" t="n">
        <f aca="false">IF((Допущения!$B$21=2),(E13+E18+E19+E20+Допущения!$B$31+Допущения!$B$32)*Допущения!$B$23/(1+Допущения!$B$23),0)</f>
        <v>0</v>
      </c>
      <c r="F27" s="17" t="n">
        <f aca="false">IF((Допущения!$B$21=2),(F13+F18+F19+F20+Допущения!$B$31+Допущения!$B$32)*Допущения!$B$23/(1+Допущения!$B$23),0)</f>
        <v>0</v>
      </c>
      <c r="G27" s="17" t="n">
        <f aca="false">IF((Допущения!$B$21=2),(G13+G18+G19+G20+Допущения!$B$31+Допущения!$B$32)*Допущения!$B$23/(1+Допущения!$B$23),0)</f>
        <v>0</v>
      </c>
      <c r="H27" s="17" t="n">
        <f aca="false">IF((Допущения!$B$21=2),(H13+H18+H19+H20+Допущения!$B$31+Допущения!$B$32)*Допущения!$B$23/(1+Допущения!$B$23),0)</f>
        <v>0</v>
      </c>
      <c r="I27" s="17" t="n">
        <f aca="false">IF((Допущения!$B$21=2),(I13+I18+I19+I20+Допущения!$B$31+Допущения!$B$32)*Допущения!$B$23/(1+Допущения!$B$23),0)</f>
        <v>0</v>
      </c>
      <c r="J27" s="17" t="n">
        <f aca="false">IF((Допущения!$B$21=2),(J13+J18+J19+J20+Допущения!$B$31+Допущения!$B$32)*Допущения!$B$23/(1+Допущения!$B$23),0)</f>
        <v>0</v>
      </c>
      <c r="K27" s="17" t="n">
        <f aca="false">IF((Допущения!$B$21=2),(K13+K18+K19+K20+Допущения!$B$31+Допущения!$B$32)*Допущения!$B$23/(1+Допущения!$B$23),0)</f>
        <v>0</v>
      </c>
      <c r="L27" s="17" t="n">
        <f aca="false">IF((Допущения!$B$21=2),(L13+L18+L19+L20+Допущения!$B$31+Допущения!$B$32)*Допущения!$B$23/(1+Допущения!$B$23),0)</f>
        <v>0</v>
      </c>
      <c r="M27" s="17" t="n">
        <f aca="false">IF((Допущения!$B$21=2),(M13+M18+M19+M20+Допущения!$B$31+Допущения!$B$32)*Допущения!$B$23/(1+Допущения!$B$23),0)</f>
        <v>0</v>
      </c>
      <c r="N27" s="18" t="n">
        <f aca="false">SUM(B27:M27)</f>
        <v>0</v>
      </c>
      <c r="O27" s="16" t="s">
        <v>208</v>
      </c>
    </row>
    <row r="28" customFormat="false" ht="15" hidden="false" customHeight="false" outlineLevel="0" collapsed="false">
      <c r="A28" s="19" t="s">
        <v>209</v>
      </c>
      <c r="B28" s="20" t="n">
        <f aca="false">MAX(0,B26-B27)</f>
        <v>0</v>
      </c>
      <c r="C28" s="20" t="n">
        <f aca="false">MAX(0,C26-C27)</f>
        <v>0</v>
      </c>
      <c r="D28" s="20" t="n">
        <f aca="false">MAX(0,D26-D27)</f>
        <v>0</v>
      </c>
      <c r="E28" s="20" t="n">
        <f aca="false">MAX(0,E26-E27)</f>
        <v>0</v>
      </c>
      <c r="F28" s="20" t="n">
        <f aca="false">MAX(0,F26-F27)</f>
        <v>0</v>
      </c>
      <c r="G28" s="20" t="n">
        <f aca="false">MAX(0,G26-G27)</f>
        <v>0</v>
      </c>
      <c r="H28" s="20" t="n">
        <f aca="false">MAX(0,H26-H27)</f>
        <v>0</v>
      </c>
      <c r="I28" s="20" t="n">
        <f aca="false">MAX(0,I26-I27)</f>
        <v>0</v>
      </c>
      <c r="J28" s="20" t="n">
        <f aca="false">MAX(0,J26-J27)</f>
        <v>0</v>
      </c>
      <c r="K28" s="20" t="n">
        <f aca="false">MAX(0,K26-K27)</f>
        <v>0</v>
      </c>
      <c r="L28" s="20" t="n">
        <f aca="false">MAX(0,L26-L27)</f>
        <v>0</v>
      </c>
      <c r="M28" s="20" t="n">
        <f aca="false">MAX(0,M26-M27)</f>
        <v>0</v>
      </c>
      <c r="N28" s="18" t="n">
        <f aca="false">SUM(B28:M28)</f>
        <v>0</v>
      </c>
      <c r="O28" s="16" t="s">
        <v>210</v>
      </c>
    </row>
    <row r="29" customFormat="false" ht="15" hidden="false" customHeight="false" outlineLevel="0" collapsed="false">
      <c r="A29" s="19" t="s">
        <v>211</v>
      </c>
      <c r="B29" s="20" t="n">
        <f aca="false">B16-B23-B25-B28</f>
        <v>-279966.299733333</v>
      </c>
      <c r="C29" s="20" t="n">
        <f aca="false">C16-C23-C25-C28</f>
        <v>-259236.306133333</v>
      </c>
      <c r="D29" s="20" t="n">
        <f aca="false">D16-D23-D25-D28</f>
        <v>-217776.318933333</v>
      </c>
      <c r="E29" s="20" t="n">
        <f aca="false">E16-E23-E25-E28</f>
        <v>-176316.331733333</v>
      </c>
      <c r="F29" s="20" t="n">
        <f aca="false">F16-F23-F25-F28</f>
        <v>-155586.338133333</v>
      </c>
      <c r="G29" s="20" t="n">
        <f aca="false">G16-G23-G25-G28</f>
        <v>-134856.344533333</v>
      </c>
      <c r="H29" s="20" t="n">
        <f aca="false">H16-H23-H25-H28</f>
        <v>-114126.350933333</v>
      </c>
      <c r="I29" s="20" t="n">
        <f aca="false">I16-I23-I25-I28</f>
        <v>-134856.344533333</v>
      </c>
      <c r="J29" s="20" t="n">
        <f aca="false">J16-J23-J25-J28</f>
        <v>-155586.338133333</v>
      </c>
      <c r="K29" s="20" t="n">
        <f aca="false">K16-K23-K25-K28</f>
        <v>-176316.331733333</v>
      </c>
      <c r="L29" s="20" t="n">
        <f aca="false">L16-L23-L25-L28</f>
        <v>-217776.318933333</v>
      </c>
      <c r="M29" s="20" t="n">
        <f aca="false">M16-M23-M25-M28</f>
        <v>-259236.306133333</v>
      </c>
      <c r="N29" s="18" t="n">
        <f aca="false">SUM(B29:M29)</f>
        <v>-2281635.9296</v>
      </c>
      <c r="O29" s="16" t="s">
        <v>212</v>
      </c>
    </row>
    <row r="30" customFormat="false" ht="15" hidden="false" customHeight="false" outlineLevel="0" collapsed="false">
      <c r="A30" s="3" t="s">
        <v>213</v>
      </c>
      <c r="B30" s="17" t="n">
        <f aca="false">IF((Допущения!$B$21=2),MAX(0,B29*Допущения!$B$25),0)</f>
        <v>0</v>
      </c>
      <c r="C30" s="17" t="n">
        <f aca="false">IF((Допущения!$B$21=2),MAX(0,C29*Допущения!$B$25),0)</f>
        <v>0</v>
      </c>
      <c r="D30" s="17" t="n">
        <f aca="false">IF((Допущения!$B$21=2),MAX(0,D29*Допущения!$B$25),0)</f>
        <v>0</v>
      </c>
      <c r="E30" s="17" t="n">
        <f aca="false">IF((Допущения!$B$21=2),MAX(0,E29*Допущения!$B$25),0)</f>
        <v>0</v>
      </c>
      <c r="F30" s="17" t="n">
        <f aca="false">IF((Допущения!$B$21=2),MAX(0,F29*Допущения!$B$25),0)</f>
        <v>0</v>
      </c>
      <c r="G30" s="17" t="n">
        <f aca="false">IF((Допущения!$B$21=2),MAX(0,G29*Допущения!$B$25),0)</f>
        <v>0</v>
      </c>
      <c r="H30" s="17" t="n">
        <f aca="false">IF((Допущения!$B$21=2),MAX(0,H29*Допущения!$B$25),0)</f>
        <v>0</v>
      </c>
      <c r="I30" s="17" t="n">
        <f aca="false">IF((Допущения!$B$21=2),MAX(0,I29*Допущения!$B$25),0)</f>
        <v>0</v>
      </c>
      <c r="J30" s="17" t="n">
        <f aca="false">IF((Допущения!$B$21=2),MAX(0,J29*Допущения!$B$25),0)</f>
        <v>0</v>
      </c>
      <c r="K30" s="17" t="n">
        <f aca="false">IF((Допущения!$B$21=2),MAX(0,K29*Допущения!$B$25),0)</f>
        <v>0</v>
      </c>
      <c r="L30" s="17" t="n">
        <f aca="false">IF((Допущения!$B$21=2),MAX(0,L29*Допущения!$B$25),0)</f>
        <v>0</v>
      </c>
      <c r="M30" s="17" t="n">
        <f aca="false">IF((Допущения!$B$21=2),MAX(0,M29*Допущения!$B$25),0)</f>
        <v>0</v>
      </c>
      <c r="N30" s="18" t="n">
        <f aca="false">SUM(B30:M30)</f>
        <v>0</v>
      </c>
      <c r="O30" s="16" t="s">
        <v>214</v>
      </c>
    </row>
    <row r="31" customFormat="false" ht="15" hidden="false" customHeight="false" outlineLevel="0" collapsed="false">
      <c r="A31" s="6" t="s">
        <v>215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customFormat="false" ht="15" hidden="false" customHeight="false" outlineLevel="0" collapsed="false">
      <c r="A32" s="19" t="s">
        <v>216</v>
      </c>
      <c r="B32" s="18" t="n">
        <f aca="false">B29-B30</f>
        <v>-279966.299733333</v>
      </c>
      <c r="C32" s="18" t="n">
        <f aca="false">C29-C30</f>
        <v>-259236.306133333</v>
      </c>
      <c r="D32" s="18" t="n">
        <f aca="false">D29-D30</f>
        <v>-217776.318933333</v>
      </c>
      <c r="E32" s="18" t="n">
        <f aca="false">E29-E30</f>
        <v>-176316.331733333</v>
      </c>
      <c r="F32" s="18" t="n">
        <f aca="false">F29-F30</f>
        <v>-155586.338133333</v>
      </c>
      <c r="G32" s="18" t="n">
        <f aca="false">G29-G30</f>
        <v>-134856.344533333</v>
      </c>
      <c r="H32" s="18" t="n">
        <f aca="false">H29-H30</f>
        <v>-114126.350933333</v>
      </c>
      <c r="I32" s="18" t="n">
        <f aca="false">I29-I30</f>
        <v>-134856.344533333</v>
      </c>
      <c r="J32" s="18" t="n">
        <f aca="false">J29-J30</f>
        <v>-155586.338133333</v>
      </c>
      <c r="K32" s="18" t="n">
        <f aca="false">K29-K30</f>
        <v>-176316.331733333</v>
      </c>
      <c r="L32" s="18" t="n">
        <f aca="false">L29-L30</f>
        <v>-217776.318933333</v>
      </c>
      <c r="M32" s="18" t="n">
        <f aca="false">M29-M30</f>
        <v>-259236.306133333</v>
      </c>
      <c r="N32" s="18" t="n">
        <f aca="false">SUM(B32:M32)</f>
        <v>-2281635.9296</v>
      </c>
      <c r="O32" s="16" t="s">
        <v>217</v>
      </c>
    </row>
    <row r="33" customFormat="false" ht="15" hidden="false" customHeight="false" outlineLevel="0" collapsed="false">
      <c r="A33" s="3" t="s">
        <v>218</v>
      </c>
      <c r="B33" s="21" t="n">
        <f aca="false">IF(B11=0,0,B32/B11)</f>
        <v>-0.360038965706447</v>
      </c>
      <c r="C33" s="21" t="n">
        <f aca="false">IF(C11=0,0,C32/C11)</f>
        <v>-0.31254377186214</v>
      </c>
      <c r="D33" s="21" t="n">
        <f aca="false">IF(D11=0,0,D32/D11)</f>
        <v>-0.233385115454961</v>
      </c>
      <c r="E33" s="21" t="n">
        <f aca="false">IF(E11=0,0,E32/E11)</f>
        <v>-0.170058190329218</v>
      </c>
      <c r="F33" s="21" t="n">
        <f aca="false">IF(F11=0,0,F32/F11)</f>
        <v>-0.142918079561042</v>
      </c>
      <c r="G33" s="21" t="n">
        <f aca="false">IF(G11=0,0,G32/G11)</f>
        <v>-0.118245251589974</v>
      </c>
      <c r="H33" s="21" t="n">
        <f aca="false">IF(H11=0,0,H32/H11)</f>
        <v>-0.0957178869207371</v>
      </c>
      <c r="I33" s="21" t="n">
        <f aca="false">IF(I11=0,0,I32/I11)</f>
        <v>-0.118245251589974</v>
      </c>
      <c r="J33" s="21" t="n">
        <f aca="false">IF(J11=0,0,J32/J11)</f>
        <v>-0.142918079561042</v>
      </c>
      <c r="K33" s="21" t="n">
        <f aca="false">IF(K11=0,0,K32/K11)</f>
        <v>-0.170058190329218</v>
      </c>
      <c r="L33" s="21" t="n">
        <f aca="false">IF(L11=0,0,L32/L11)</f>
        <v>-0.233385115454961</v>
      </c>
      <c r="M33" s="21" t="n">
        <f aca="false">IF(M11=0,0,M32/M11)</f>
        <v>-0.31254377186214</v>
      </c>
      <c r="N33" s="22" t="n">
        <f aca="false">IF(N11=0,0,N32/N11)</f>
        <v>-0.189711373988931</v>
      </c>
      <c r="O33" s="16" t="s">
        <v>219</v>
      </c>
    </row>
    <row r="34" customFormat="false" ht="15" hidden="false" customHeight="false" outlineLevel="0" collapsed="false">
      <c r="A34" s="19" t="s">
        <v>220</v>
      </c>
      <c r="B34" s="20" t="n">
        <f aca="false">B32+B22</f>
        <v>-9132.96639999986</v>
      </c>
      <c r="C34" s="20" t="n">
        <f aca="false">C32+C22</f>
        <v>11597.0272000002</v>
      </c>
      <c r="D34" s="20" t="n">
        <f aca="false">D32+D22</f>
        <v>53057.0144000002</v>
      </c>
      <c r="E34" s="20" t="n">
        <f aca="false">E32+E22</f>
        <v>94517.0016000001</v>
      </c>
      <c r="F34" s="20" t="n">
        <f aca="false">F32+F22</f>
        <v>115246.9952</v>
      </c>
      <c r="G34" s="20" t="n">
        <f aca="false">G32+G22</f>
        <v>135976.9888</v>
      </c>
      <c r="H34" s="20" t="n">
        <f aca="false">H32+H22</f>
        <v>156706.9824</v>
      </c>
      <c r="I34" s="20" t="n">
        <f aca="false">I32+I22</f>
        <v>135976.9888</v>
      </c>
      <c r="J34" s="20" t="n">
        <f aca="false">J32+J22</f>
        <v>115246.9952</v>
      </c>
      <c r="K34" s="20" t="n">
        <f aca="false">K32+K22</f>
        <v>94517.0016000001</v>
      </c>
      <c r="L34" s="20" t="n">
        <f aca="false">L32+L22</f>
        <v>53057.0144000002</v>
      </c>
      <c r="M34" s="20" t="n">
        <f aca="false">M32+M22</f>
        <v>11597.0272000002</v>
      </c>
      <c r="N34" s="18" t="n">
        <f aca="false">SUM(B34:M34)</f>
        <v>968364.070400002</v>
      </c>
      <c r="O34" s="16" t="s">
        <v>221</v>
      </c>
    </row>
    <row r="35" customFormat="false" ht="15" hidden="false" customHeight="false" outlineLevel="0" collapsed="false">
      <c r="A35" s="19" t="s">
        <v>222</v>
      </c>
      <c r="B35" s="20" t="n">
        <f aca="false">-Безубыток!$B$11+B34</f>
        <v>-26009132.9664</v>
      </c>
      <c r="C35" s="20" t="n">
        <f aca="false">B35+C34</f>
        <v>-25997535.9392</v>
      </c>
      <c r="D35" s="20" t="n">
        <f aca="false">C35+D34</f>
        <v>-25944478.9248</v>
      </c>
      <c r="E35" s="20" t="n">
        <f aca="false">D35+E34</f>
        <v>-25849961.9232</v>
      </c>
      <c r="F35" s="20" t="n">
        <f aca="false">E35+F34</f>
        <v>-25734714.928</v>
      </c>
      <c r="G35" s="20" t="n">
        <f aca="false">F35+G34</f>
        <v>-25598737.9392</v>
      </c>
      <c r="H35" s="20" t="n">
        <f aca="false">G35+H34</f>
        <v>-25442030.9568</v>
      </c>
      <c r="I35" s="20" t="n">
        <f aca="false">H35+I34</f>
        <v>-25306053.968</v>
      </c>
      <c r="J35" s="20" t="n">
        <f aca="false">I35+J34</f>
        <v>-25190806.9728</v>
      </c>
      <c r="K35" s="20" t="n">
        <f aca="false">J35+K34</f>
        <v>-25096289.9712</v>
      </c>
      <c r="L35" s="20" t="n">
        <f aca="false">K35+L34</f>
        <v>-25043232.9568</v>
      </c>
      <c r="M35" s="20" t="n">
        <f aca="false">L35+M34</f>
        <v>-25031635.9296</v>
      </c>
      <c r="O35" s="16" t="s">
        <v>223</v>
      </c>
    </row>
    <row r="37" customFormat="false" ht="15" hidden="false" customHeight="false" outlineLevel="0" collapsed="false">
      <c r="A37" s="19" t="s">
        <v>224</v>
      </c>
      <c r="B37" s="23" t="str">
        <f aca="false">IF((Допущения!$B$21=1),"Упрощёнка: вы не плательщик НДС. Проверьте ставку маслихата своего региона",IF(N11&gt;Допущения!$B$24,"Оборот за год превышает порог 43 250 000 ₸ - НДС обязателен","Общий режим: оборот ниже порога, НДС нужен только при добровольной регистрации"))</f>
        <v>Упрощёнка: вы не плательщик НДС. Проверьте ставку маслихата своего региона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16"/>
    <col collapsed="false" customWidth="true" hidden="false" outlineLevel="0" max="7" min="3" style="0" width="14"/>
    <col collapsed="false" customWidth="true" hidden="false" outlineLevel="0" max="8" min="8" style="0" width="60"/>
  </cols>
  <sheetData>
    <row r="1" customFormat="false" ht="17.35" hidden="false" customHeight="false" outlineLevel="0" collapsed="false">
      <c r="A1" s="1" t="s">
        <v>225</v>
      </c>
    </row>
    <row r="2" customFormat="false" ht="15" hidden="false" customHeight="false" outlineLevel="0" collapsed="false">
      <c r="A2" s="2" t="s">
        <v>226</v>
      </c>
    </row>
    <row r="4" customFormat="false" ht="15" hidden="false" customHeight="false" outlineLevel="0" collapsed="false">
      <c r="A4" s="6" t="s">
        <v>227</v>
      </c>
      <c r="B4" s="7"/>
      <c r="C4" s="7"/>
      <c r="D4" s="7"/>
      <c r="E4" s="7"/>
      <c r="F4" s="7"/>
      <c r="G4" s="7"/>
      <c r="H4" s="7"/>
    </row>
    <row r="5" customFormat="false" ht="15" hidden="false" customHeight="false" outlineLevel="0" collapsed="false">
      <c r="A5" s="3" t="s">
        <v>228</v>
      </c>
      <c r="B5" s="17" t="n">
        <f aca="false">Допущения!$B$36</f>
        <v>10000000</v>
      </c>
    </row>
    <row r="6" customFormat="false" ht="15" hidden="false" customHeight="false" outlineLevel="0" collapsed="false">
      <c r="A6" s="3" t="s">
        <v>104</v>
      </c>
      <c r="B6" s="17" t="n">
        <f aca="false">Допущения!$B$37</f>
        <v>8000000</v>
      </c>
      <c r="C6" s="16" t="s">
        <v>229</v>
      </c>
    </row>
    <row r="7" customFormat="false" ht="15" hidden="false" customHeight="false" outlineLevel="0" collapsed="false">
      <c r="A7" s="3" t="s">
        <v>230</v>
      </c>
      <c r="B7" s="17" t="n">
        <f aca="false">Допущения!$B$38</f>
        <v>3000000</v>
      </c>
    </row>
    <row r="8" customFormat="false" ht="15" hidden="false" customHeight="false" outlineLevel="0" collapsed="false">
      <c r="A8" s="3" t="s">
        <v>107</v>
      </c>
      <c r="B8" s="17" t="n">
        <f aca="false">Допущения!$B$39</f>
        <v>1500000</v>
      </c>
    </row>
    <row r="9" customFormat="false" ht="15" hidden="false" customHeight="false" outlineLevel="0" collapsed="false">
      <c r="A9" s="3" t="s">
        <v>231</v>
      </c>
      <c r="B9" s="17" t="n">
        <f aca="false">Допущения!$B$40</f>
        <v>1000000</v>
      </c>
    </row>
    <row r="10" customFormat="false" ht="15" hidden="false" customHeight="false" outlineLevel="0" collapsed="false">
      <c r="A10" s="3" t="s">
        <v>232</v>
      </c>
      <c r="B10" s="17" t="n">
        <f aca="false">Допущения!$B$41</f>
        <v>2500000</v>
      </c>
    </row>
    <row r="11" customFormat="false" ht="15" hidden="false" customHeight="false" outlineLevel="0" collapsed="false">
      <c r="A11" s="19" t="s">
        <v>233</v>
      </c>
      <c r="B11" s="18" t="n">
        <f aca="false">SUM(B5:B10)</f>
        <v>26000000</v>
      </c>
    </row>
    <row r="12" customFormat="false" ht="15" hidden="false" customHeight="false" outlineLevel="0" collapsed="false">
      <c r="A12" s="3" t="s">
        <v>234</v>
      </c>
      <c r="B12" s="21" t="n">
        <f aca="false">IF(B11=0,0,B5/B11)</f>
        <v>0.384615384615385</v>
      </c>
    </row>
    <row r="13" customFormat="false" ht="15" hidden="false" customHeight="false" outlineLevel="0" collapsed="false">
      <c r="A13" s="3" t="s">
        <v>235</v>
      </c>
      <c r="B13" s="17" t="n">
        <f aca="false">Допущения!$B$43*(Допущения!$B$28+Допущения!$B$33)</f>
        <v>1080000</v>
      </c>
      <c r="C13" s="16" t="s">
        <v>236</v>
      </c>
    </row>
    <row r="14" customFormat="false" ht="15" hidden="false" customHeight="false" outlineLevel="0" collapsed="false">
      <c r="A14" s="3" t="s">
        <v>237</v>
      </c>
      <c r="B14" s="17" t="n">
        <f aca="false">B11*0.5*Допущения!$B$44*Допущения!$B$43/12</f>
        <v>1040000</v>
      </c>
      <c r="C14" s="16" t="s">
        <v>238</v>
      </c>
    </row>
    <row r="15" customFormat="false" ht="15" hidden="false" customHeight="false" outlineLevel="0" collapsed="false">
      <c r="A15" s="19" t="s">
        <v>239</v>
      </c>
      <c r="B15" s="20" t="n">
        <f aca="false">B13+B14</f>
        <v>2120000</v>
      </c>
      <c r="C15" s="16" t="s">
        <v>240</v>
      </c>
    </row>
    <row r="16" customFormat="false" ht="15" hidden="false" customHeight="false" outlineLevel="0" collapsed="false">
      <c r="A16" s="19" t="s">
        <v>241</v>
      </c>
      <c r="B16" s="18" t="n">
        <f aca="false">B11+B15</f>
        <v>28120000</v>
      </c>
    </row>
    <row r="18" customFormat="false" ht="15" hidden="false" customHeight="false" outlineLevel="0" collapsed="false">
      <c r="A18" s="6" t="s">
        <v>242</v>
      </c>
      <c r="B18" s="7"/>
      <c r="C18" s="7"/>
      <c r="D18" s="7"/>
      <c r="E18" s="7"/>
      <c r="F18" s="7"/>
      <c r="G18" s="7"/>
      <c r="H18" s="7"/>
    </row>
    <row r="19" customFormat="false" ht="15" hidden="false" customHeight="false" outlineLevel="0" collapsed="false">
      <c r="A19" s="3" t="s">
        <v>193</v>
      </c>
      <c r="B19" s="17" t="n">
        <f aca="false">Допущения!$B$28</f>
        <v>150000</v>
      </c>
    </row>
    <row r="20" customFormat="false" ht="15" hidden="false" customHeight="false" outlineLevel="0" collapsed="false">
      <c r="A20" s="3" t="s">
        <v>243</v>
      </c>
      <c r="B20" s="17" t="n">
        <f aca="false">Допущения!$B$6*Допущения!$B$29</f>
        <v>30000</v>
      </c>
    </row>
    <row r="21" customFormat="false" ht="15" hidden="false" customHeight="false" outlineLevel="0" collapsed="false">
      <c r="A21" s="3" t="s">
        <v>93</v>
      </c>
      <c r="B21" s="17" t="n">
        <f aca="false">Допущения!$B$30</f>
        <v>80000</v>
      </c>
    </row>
    <row r="22" customFormat="false" ht="15" hidden="false" customHeight="false" outlineLevel="0" collapsed="false">
      <c r="A22" s="3" t="s">
        <v>197</v>
      </c>
      <c r="B22" s="17" t="n">
        <f aca="false">Допущения!$B$31+Допущения!$B$32+Допущения!$B$33</f>
        <v>60000</v>
      </c>
    </row>
    <row r="23" customFormat="false" ht="15" hidden="false" customHeight="false" outlineLevel="0" collapsed="false">
      <c r="A23" s="19" t="s">
        <v>244</v>
      </c>
      <c r="B23" s="18" t="n">
        <f aca="false">SUM(B19:B22)</f>
        <v>320000</v>
      </c>
    </row>
    <row r="24" customFormat="false" ht="15" hidden="false" customHeight="false" outlineLevel="0" collapsed="false">
      <c r="A24" s="3" t="s">
        <v>245</v>
      </c>
      <c r="B24" s="17" t="n">
        <f aca="false">IF((Допущения!$B$21=2),(B19+B20+B21+Допущения!$B$31+Допущения!$B$32)*Допущения!$B$23/(1+Допущения!$B$23),0)</f>
        <v>0</v>
      </c>
    </row>
    <row r="25" customFormat="false" ht="15" hidden="false" customHeight="false" outlineLevel="0" collapsed="false">
      <c r="A25" s="19" t="s">
        <v>246</v>
      </c>
      <c r="B25" s="20" t="n">
        <f aca="false">B23-B24</f>
        <v>320000</v>
      </c>
    </row>
    <row r="26" customFormat="false" ht="15" hidden="false" customHeight="false" outlineLevel="0" collapsed="false">
      <c r="A26" s="3" t="s">
        <v>198</v>
      </c>
      <c r="B26" s="17" t="n">
        <f aca="false">B11/Допущения!$B$42/12</f>
        <v>270833.333333333</v>
      </c>
      <c r="C26" s="16" t="s">
        <v>247</v>
      </c>
    </row>
    <row r="28" customFormat="false" ht="15" hidden="false" customHeight="false" outlineLevel="0" collapsed="false">
      <c r="A28" s="6" t="s">
        <v>248</v>
      </c>
      <c r="B28" s="7"/>
      <c r="C28" s="7"/>
      <c r="D28" s="7"/>
      <c r="E28" s="7"/>
      <c r="F28" s="7"/>
      <c r="G28" s="7"/>
      <c r="H28" s="7"/>
    </row>
    <row r="29" customFormat="false" ht="15" hidden="false" customHeight="false" outlineLevel="0" collapsed="false">
      <c r="A29" s="3" t="s">
        <v>249</v>
      </c>
      <c r="B29" s="24" t="n">
        <f aca="false">Допущения!$B$13</f>
        <v>80</v>
      </c>
    </row>
    <row r="30" customFormat="false" ht="15" hidden="false" customHeight="false" outlineLevel="0" collapsed="false">
      <c r="A30" s="3" t="s">
        <v>250</v>
      </c>
      <c r="B30" s="24" t="n">
        <f aca="false">Допущения!$B$14*(1+Допущения!$B$15)</f>
        <v>41.4352</v>
      </c>
    </row>
    <row r="31" customFormat="false" ht="15" hidden="false" customHeight="false" outlineLevel="0" collapsed="false">
      <c r="A31" s="3" t="s">
        <v>251</v>
      </c>
      <c r="B31" s="24" t="n">
        <f aca="false">B30/(1-Допущения!$B$16)</f>
        <v>43.616</v>
      </c>
    </row>
    <row r="32" customFormat="false" ht="15" hidden="false" customHeight="false" outlineLevel="0" collapsed="false">
      <c r="A32" s="3" t="s">
        <v>186</v>
      </c>
      <c r="B32" s="24" t="n">
        <f aca="false">B29*Допущения!$B$17*Допущения!$B$18</f>
        <v>1.2</v>
      </c>
    </row>
    <row r="33" customFormat="false" ht="15" hidden="false" customHeight="false" outlineLevel="0" collapsed="false">
      <c r="A33" s="3" t="s">
        <v>252</v>
      </c>
      <c r="B33" s="24" t="n">
        <f aca="false">IF((Допущения!$B$21=2),MAX(0,(B29-B31)*Допущения!$B$23/(1+Допущения!$B$23)),B29*Допущения!$B$22)</f>
        <v>3.2</v>
      </c>
    </row>
    <row r="34" customFormat="false" ht="15" hidden="false" customHeight="false" outlineLevel="0" collapsed="false">
      <c r="A34" s="19" t="s">
        <v>253</v>
      </c>
      <c r="B34" s="25" t="n">
        <f aca="false">B29-B31-B32-B33</f>
        <v>31.984</v>
      </c>
    </row>
    <row r="35" customFormat="false" ht="15" hidden="false" customHeight="false" outlineLevel="0" collapsed="false">
      <c r="A35" s="3" t="s">
        <v>254</v>
      </c>
      <c r="B35" s="26" t="n">
        <f aca="false">IF(B30=0,0,B29/B30)</f>
        <v>1.93072556666795</v>
      </c>
      <c r="C35" s="16" t="s">
        <v>255</v>
      </c>
    </row>
    <row r="36" customFormat="false" ht="15" hidden="false" customHeight="false" outlineLevel="0" collapsed="false">
      <c r="A36" s="19" t="s">
        <v>256</v>
      </c>
      <c r="B36" s="20" t="n">
        <f aca="false">B34*Допущения!$B$8</f>
        <v>639.68</v>
      </c>
    </row>
    <row r="37" customFormat="false" ht="15" hidden="false" customHeight="false" outlineLevel="0" collapsed="false">
      <c r="A37" s="3" t="s">
        <v>257</v>
      </c>
      <c r="B37" s="17" t="n">
        <f aca="false">Допущения!$B$5*Допущения!$B$9*Допущения!$B$10</f>
        <v>86400</v>
      </c>
      <c r="C37" s="16" t="s">
        <v>50</v>
      </c>
    </row>
    <row r="39" customFormat="false" ht="15" hidden="false" customHeight="false" outlineLevel="0" collapsed="false">
      <c r="A39" s="6" t="s">
        <v>258</v>
      </c>
      <c r="B39" s="7"/>
      <c r="C39" s="7"/>
      <c r="D39" s="7"/>
      <c r="E39" s="7"/>
      <c r="F39" s="7"/>
      <c r="G39" s="7"/>
      <c r="H39" s="7"/>
    </row>
    <row r="40" customFormat="false" ht="15" hidden="false" customHeight="false" outlineLevel="0" collapsed="false">
      <c r="A40" s="3" t="s">
        <v>259</v>
      </c>
      <c r="B40" s="17" t="n">
        <f aca="false">IF(B34&lt;=0,0,B25/B34)</f>
        <v>10005.0025012506</v>
      </c>
    </row>
    <row r="41" customFormat="false" ht="15" hidden="false" customHeight="false" outlineLevel="0" collapsed="false">
      <c r="A41" s="19" t="s">
        <v>260</v>
      </c>
      <c r="B41" s="22" t="n">
        <f aca="false">IF(B37=0,0,B40/B37)</f>
        <v>0.115798640060771</v>
      </c>
    </row>
    <row r="42" customFormat="false" ht="15" hidden="false" customHeight="false" outlineLevel="0" collapsed="false">
      <c r="A42" s="19" t="s">
        <v>261</v>
      </c>
      <c r="B42" s="20" t="n">
        <f aca="false">IF(B34&lt;=0,0,ROUNDUP(B40/Допущения!$B$8/Допущения!$B$10,0))</f>
        <v>17</v>
      </c>
      <c r="C42" s="16" t="s">
        <v>262</v>
      </c>
    </row>
    <row r="43" customFormat="false" ht="15" hidden="false" customHeight="false" outlineLevel="0" collapsed="false">
      <c r="A43" s="3" t="s">
        <v>263</v>
      </c>
      <c r="B43" s="17" t="n">
        <f aca="false">B11/(Допущения!$B$45*12)</f>
        <v>541666.666666667</v>
      </c>
    </row>
    <row r="44" customFormat="false" ht="15" hidden="false" customHeight="false" outlineLevel="0" collapsed="false">
      <c r="A44" s="3" t="s">
        <v>264</v>
      </c>
      <c r="B44" s="17" t="n">
        <f aca="false">IF(B34&lt;=0,0,IF((Допущения!$B$21=2),(MAX(0,B43-B26)/(1-Допущения!$B$25)+MIN(B43,B26)+B25)/B34,(B43+B25)/B34))</f>
        <v>26940.5536101384</v>
      </c>
    </row>
    <row r="45" customFormat="false" ht="15" hidden="false" customHeight="false" outlineLevel="0" collapsed="false">
      <c r="A45" s="19" t="s">
        <v>265</v>
      </c>
      <c r="B45" s="22" t="n">
        <f aca="false">IF(B37=0,0,B44/B37)</f>
        <v>0.311811963080306</v>
      </c>
    </row>
    <row r="46" customFormat="false" ht="15" hidden="false" customHeight="false" outlineLevel="0" collapsed="false">
      <c r="A46" s="19" t="s">
        <v>266</v>
      </c>
      <c r="B46" s="18" t="n">
        <f aca="false">IF(B34&lt;=0,0,ROUNDUP(B44/Допущения!$B$8/Допущения!$B$10,0))</f>
        <v>45</v>
      </c>
    </row>
    <row r="47" customFormat="false" ht="15" hidden="false" customHeight="false" outlineLevel="0" collapsed="false">
      <c r="A47" s="3" t="s">
        <v>267</v>
      </c>
      <c r="B47" s="21" t="n">
        <f aca="false">Допущения!$B$7</f>
        <v>0.15</v>
      </c>
    </row>
    <row r="48" customFormat="false" ht="15" hidden="false" customHeight="false" outlineLevel="0" collapsed="false">
      <c r="A48" s="3" t="s">
        <v>268</v>
      </c>
      <c r="B48" s="21" t="n">
        <f aca="false">IF(Допущения!$B$7=0,0,(Допущения!$B$7-B41)/Допущения!$B$7)</f>
        <v>0.228009066261526</v>
      </c>
      <c r="C48" s="16" t="s">
        <v>269</v>
      </c>
    </row>
    <row r="50" customFormat="false" ht="15" hidden="false" customHeight="false" outlineLevel="0" collapsed="false">
      <c r="A50" s="6" t="s">
        <v>270</v>
      </c>
      <c r="B50" s="7"/>
      <c r="C50" s="7"/>
      <c r="D50" s="7"/>
      <c r="E50" s="7"/>
      <c r="F50" s="7"/>
      <c r="G50" s="7"/>
      <c r="H50" s="7"/>
    </row>
    <row r="51" customFormat="false" ht="15" hidden="false" customHeight="false" outlineLevel="0" collapsed="false">
      <c r="A51" s="5" t="s">
        <v>271</v>
      </c>
      <c r="B51" s="5" t="s">
        <v>176</v>
      </c>
      <c r="C51" s="5" t="s">
        <v>272</v>
      </c>
      <c r="D51" s="5" t="s">
        <v>184</v>
      </c>
      <c r="E51" s="5" t="s">
        <v>273</v>
      </c>
      <c r="F51" s="5" t="s">
        <v>274</v>
      </c>
      <c r="G51" s="5" t="s">
        <v>220</v>
      </c>
      <c r="H51" s="5" t="s">
        <v>275</v>
      </c>
    </row>
    <row r="52" customFormat="false" ht="15" hidden="false" customHeight="false" outlineLevel="0" collapsed="false">
      <c r="A52" s="10" t="n">
        <v>0.1</v>
      </c>
      <c r="B52" s="17" t="n">
        <f aca="false">ROUND(($A52*$B$37)/Допущения!$B$8/Допущения!$B$10,0)</f>
        <v>14</v>
      </c>
      <c r="C52" s="17" t="n">
        <f aca="false">($A52*$B$37)*$B$29</f>
        <v>691200</v>
      </c>
      <c r="D52" s="17" t="n">
        <f aca="false">($A52*$B$37)*$B$31</f>
        <v>376842.24</v>
      </c>
      <c r="E52" s="17" t="n">
        <f aca="false">$B$23</f>
        <v>320000</v>
      </c>
      <c r="F52" s="17" t="n">
        <f aca="false">IF((Допущения!$B$21=2),($A52*$B$37)*$B$33-$B$24+MAX(0,(($A52*$B$37)*$B$34-$B$25-$B$26))*Допущения!$B$25,($A52*$B$37)*$B$33)</f>
        <v>27648</v>
      </c>
      <c r="G52" s="20" t="n">
        <f aca="false">C52-D52-($A52*$B$37)*$B$32-E52-F52</f>
        <v>-43658.24</v>
      </c>
      <c r="H52" s="27" t="str">
        <f aca="false">IF(G52&lt;=0,"не окупается",$B$11/G52/12)</f>
        <v>не окупается</v>
      </c>
    </row>
    <row r="53" customFormat="false" ht="15" hidden="false" customHeight="false" outlineLevel="0" collapsed="false">
      <c r="A53" s="10" t="n">
        <v>0.15</v>
      </c>
      <c r="B53" s="17" t="n">
        <f aca="false">ROUND(($A53*$B$37)/Допущения!$B$8/Допущения!$B$10,0)</f>
        <v>22</v>
      </c>
      <c r="C53" s="17" t="n">
        <f aca="false">($A53*$B$37)*$B$29</f>
        <v>1036800</v>
      </c>
      <c r="D53" s="17" t="n">
        <f aca="false">($A53*$B$37)*$B$31</f>
        <v>565263.36</v>
      </c>
      <c r="E53" s="17" t="n">
        <f aca="false">$B$23</f>
        <v>320000</v>
      </c>
      <c r="F53" s="17" t="n">
        <f aca="false">IF((Допущения!$B$21=2),($A53*$B$37)*$B$33-$B$24+MAX(0,(($A53*$B$37)*$B$34-$B$25-$B$26))*Допущения!$B$25,($A53*$B$37)*$B$33)</f>
        <v>41472</v>
      </c>
      <c r="G53" s="20" t="n">
        <f aca="false">C53-D53-($A53*$B$37)*$B$32-E53-F53</f>
        <v>94512.64</v>
      </c>
      <c r="H53" s="27" t="n">
        <f aca="false">IF(G53&lt;=0,"не окупается",$B$11/G53/12)</f>
        <v>22.9246232743754</v>
      </c>
    </row>
    <row r="54" customFormat="false" ht="15" hidden="false" customHeight="false" outlineLevel="0" collapsed="false">
      <c r="A54" s="10" t="n">
        <v>0.2</v>
      </c>
      <c r="B54" s="17" t="n">
        <f aca="false">ROUND(($A54*$B$37)/Допущения!$B$8/Допущения!$B$10,0)</f>
        <v>29</v>
      </c>
      <c r="C54" s="17" t="n">
        <f aca="false">($A54*$B$37)*$B$29</f>
        <v>1382400</v>
      </c>
      <c r="D54" s="17" t="n">
        <f aca="false">($A54*$B$37)*$B$31</f>
        <v>753684.48</v>
      </c>
      <c r="E54" s="17" t="n">
        <f aca="false">$B$23</f>
        <v>320000</v>
      </c>
      <c r="F54" s="17" t="n">
        <f aca="false">IF((Допущения!$B$21=2),($A54*$B$37)*$B$33-$B$24+MAX(0,(($A54*$B$37)*$B$34-$B$25-$B$26))*Допущения!$B$25,($A54*$B$37)*$B$33)</f>
        <v>55296</v>
      </c>
      <c r="G54" s="20" t="n">
        <f aca="false">C54-D54-($A54*$B$37)*$B$32-E54-F54</f>
        <v>232683.52</v>
      </c>
      <c r="H54" s="27" t="n">
        <f aca="false">IF(G54&lt;=0,"не окупается",$B$11/G54/12)</f>
        <v>9.31164642286083</v>
      </c>
    </row>
    <row r="55" customFormat="false" ht="15" hidden="false" customHeight="false" outlineLevel="0" collapsed="false">
      <c r="A55" s="10" t="n">
        <v>0.25</v>
      </c>
      <c r="B55" s="17" t="n">
        <f aca="false">ROUND(($A55*$B$37)/Допущения!$B$8/Допущения!$B$10,0)</f>
        <v>36</v>
      </c>
      <c r="C55" s="17" t="n">
        <f aca="false">($A55*$B$37)*$B$29</f>
        <v>1728000</v>
      </c>
      <c r="D55" s="17" t="n">
        <f aca="false">($A55*$B$37)*$B$31</f>
        <v>942105.6</v>
      </c>
      <c r="E55" s="17" t="n">
        <f aca="false">$B$23</f>
        <v>320000</v>
      </c>
      <c r="F55" s="17" t="n">
        <f aca="false">IF((Допущения!$B$21=2),($A55*$B$37)*$B$33-$B$24+MAX(0,(($A55*$B$37)*$B$34-$B$25-$B$26))*Допущения!$B$25,($A55*$B$37)*$B$33)</f>
        <v>69120</v>
      </c>
      <c r="G55" s="20" t="n">
        <f aca="false">C55-D55-($A55*$B$37)*$B$32-E55-F55</f>
        <v>370854.4</v>
      </c>
      <c r="H55" s="27" t="n">
        <f aca="false">IF(G55&lt;=0,"не окупается",$B$11/G55/12)</f>
        <v>5.84236473038116</v>
      </c>
    </row>
    <row r="56" customFormat="false" ht="15" hidden="false" customHeight="false" outlineLevel="0" collapsed="false">
      <c r="A56" s="10" t="n">
        <v>0.3</v>
      </c>
      <c r="B56" s="17" t="n">
        <f aca="false">ROUND(($A56*$B$37)/Допущения!$B$8/Допущения!$B$10,0)</f>
        <v>43</v>
      </c>
      <c r="C56" s="17" t="n">
        <f aca="false">($A56*$B$37)*$B$29</f>
        <v>2073600</v>
      </c>
      <c r="D56" s="17" t="n">
        <f aca="false">($A56*$B$37)*$B$31</f>
        <v>1130526.72</v>
      </c>
      <c r="E56" s="17" t="n">
        <f aca="false">$B$23</f>
        <v>320000</v>
      </c>
      <c r="F56" s="17" t="n">
        <f aca="false">IF((Допущения!$B$21=2),($A56*$B$37)*$B$33-$B$24+MAX(0,(($A56*$B$37)*$B$34-$B$25-$B$26))*Допущения!$B$25,($A56*$B$37)*$B$33)</f>
        <v>82944</v>
      </c>
      <c r="G56" s="20" t="n">
        <f aca="false">C56-D56-($A56*$B$37)*$B$32-E56-F56</f>
        <v>509025.28</v>
      </c>
      <c r="H56" s="27" t="n">
        <f aca="false">IF(G56&lt;=0,"не окупается",$B$11/G56/12)</f>
        <v>4.25650110475194</v>
      </c>
    </row>
    <row r="57" customFormat="false" ht="15" hidden="false" customHeight="false" outlineLevel="0" collapsed="false">
      <c r="A57" s="10" t="n">
        <v>0.4</v>
      </c>
      <c r="B57" s="17" t="n">
        <f aca="false">ROUND(($A57*$B$37)/Допущения!$B$8/Допущения!$B$10,0)</f>
        <v>58</v>
      </c>
      <c r="C57" s="17" t="n">
        <f aca="false">($A57*$B$37)*$B$29</f>
        <v>2764800</v>
      </c>
      <c r="D57" s="17" t="n">
        <f aca="false">($A57*$B$37)*$B$31</f>
        <v>1507368.96</v>
      </c>
      <c r="E57" s="17" t="n">
        <f aca="false">$B$23</f>
        <v>320000</v>
      </c>
      <c r="F57" s="17" t="n">
        <f aca="false">IF((Допущения!$B$21=2),($A57*$B$37)*$B$33-$B$24+MAX(0,(($A57*$B$37)*$B$34-$B$25-$B$26))*Допущения!$B$25,($A57*$B$37)*$B$33)</f>
        <v>110592</v>
      </c>
      <c r="G57" s="20" t="n">
        <f aca="false">C57-D57-($A57*$B$37)*$B$32-E57-F57</f>
        <v>785367.04</v>
      </c>
      <c r="H57" s="27" t="n">
        <f aca="false">IF(G57&lt;=0,"не окупается",$B$11/G57/12)</f>
        <v>2.75879500452001</v>
      </c>
    </row>
    <row r="58" customFormat="false" ht="15" hidden="false" customHeight="false" outlineLevel="0" collapsed="false">
      <c r="A58" s="16" t="s">
        <v>276</v>
      </c>
    </row>
    <row r="59" customFormat="false" ht="15" hidden="false" customHeight="false" outlineLevel="0" collapsed="false">
      <c r="A59" s="16" t="s">
        <v>277</v>
      </c>
    </row>
    <row r="61" customFormat="false" ht="15" hidden="false" customHeight="false" outlineLevel="0" collapsed="false">
      <c r="A61" s="6" t="s">
        <v>278</v>
      </c>
      <c r="B61" s="7"/>
      <c r="C61" s="7"/>
      <c r="D61" s="7"/>
      <c r="E61" s="7"/>
      <c r="F61" s="7"/>
      <c r="G61" s="7"/>
      <c r="H61" s="7"/>
    </row>
    <row r="62" customFormat="false" ht="15" hidden="false" customHeight="false" outlineLevel="0" collapsed="false">
      <c r="A62" s="5" t="s">
        <v>279</v>
      </c>
      <c r="B62" s="28" t="n">
        <v>0.1</v>
      </c>
      <c r="C62" s="28" t="n">
        <v>0.15</v>
      </c>
      <c r="D62" s="28" t="n">
        <v>0.2</v>
      </c>
      <c r="E62" s="28" t="n">
        <v>0.25</v>
      </c>
      <c r="F62" s="28" t="n">
        <v>0.3</v>
      </c>
      <c r="G62" s="28" t="n">
        <v>0.4</v>
      </c>
    </row>
    <row r="63" customFormat="false" ht="15" hidden="false" customHeight="false" outlineLevel="0" collapsed="false">
      <c r="A63" s="29" t="n">
        <v>60</v>
      </c>
      <c r="B63" s="17" t="n">
        <f aca="false">((B$62*$B$37)*($A63-$B$31-$A63*Допущения!$B$17*Допущения!$B$18-IF((Допущения!$B$21=2),MAX(0,($A63-$B$31)*Допущения!$B$23/(1+Допущения!$B$23)),$A63*Допущения!$B$22))-$B$25-$B$26)-IF((Допущения!$B$21=2),MAX(0,((B$62*$B$37)*($A63-$B$31-$A63*Допущения!$B$17*Допущения!$B$18-IF((Допущения!$B$21=2),MAX(0,($A63-$B$31)*Допущения!$B$23/(1+Допущения!$B$23)),$A63*Допущения!$B$22))-$B$25-$B$26))*Допущения!$B$25,0)+$B$26</f>
        <v>-206954.24</v>
      </c>
      <c r="C63" s="17" t="n">
        <f aca="false">((C$62*$B$37)*($A63-$B$31-$A63*Допущения!$B$17*Допущения!$B$18-IF((Допущения!$B$21=2),MAX(0,($A63-$B$31)*Допущения!$B$23/(1+Допущения!$B$23)),$A63*Допущения!$B$22))-$B$25-$B$26)-IF((Допущения!$B$21=2),MAX(0,((C$62*$B$37)*($A63-$B$31-$A63*Допущения!$B$17*Допущения!$B$18-IF((Допущения!$B$21=2),MAX(0,($A63-$B$31)*Допущения!$B$23/(1+Допущения!$B$23)),$A63*Допущения!$B$22))-$B$25-$B$26))*Допущения!$B$25,0)+$B$26</f>
        <v>-150431.36</v>
      </c>
      <c r="D63" s="17" t="n">
        <f aca="false">((D$62*$B$37)*($A63-$B$31-$A63*Допущения!$B$17*Допущения!$B$18-IF((Допущения!$B$21=2),MAX(0,($A63-$B$31)*Допущения!$B$23/(1+Допущения!$B$23)),$A63*Допущения!$B$22))-$B$25-$B$26)-IF((Допущения!$B$21=2),MAX(0,((D$62*$B$37)*($A63-$B$31-$A63*Допущения!$B$17*Допущения!$B$18-IF((Допущения!$B$21=2),MAX(0,($A63-$B$31)*Допущения!$B$23/(1+Допущения!$B$23)),$A63*Допущения!$B$22))-$B$25-$B$26))*Допущения!$B$25,0)+$B$26</f>
        <v>-93908.48</v>
      </c>
      <c r="E63" s="17" t="n">
        <f aca="false">((E$62*$B$37)*($A63-$B$31-$A63*Допущения!$B$17*Допущения!$B$18-IF((Допущения!$B$21=2),MAX(0,($A63-$B$31)*Допущения!$B$23/(1+Допущения!$B$23)),$A63*Допущения!$B$22))-$B$25-$B$26)-IF((Допущения!$B$21=2),MAX(0,((E$62*$B$37)*($A63-$B$31-$A63*Допущения!$B$17*Допущения!$B$18-IF((Допущения!$B$21=2),MAX(0,($A63-$B$31)*Допущения!$B$23/(1+Допущения!$B$23)),$A63*Допущения!$B$22))-$B$25-$B$26))*Допущения!$B$25,0)+$B$26</f>
        <v>-37385.6</v>
      </c>
      <c r="F63" s="17" t="n">
        <f aca="false">((F$62*$B$37)*($A63-$B$31-$A63*Допущения!$B$17*Допущения!$B$18-IF((Допущения!$B$21=2),MAX(0,($A63-$B$31)*Допущения!$B$23/(1+Допущения!$B$23)),$A63*Допущения!$B$22))-$B$25-$B$26)-IF((Допущения!$B$21=2),MAX(0,((F$62*$B$37)*($A63-$B$31-$A63*Допущения!$B$17*Допущения!$B$18-IF((Допущения!$B$21=2),MAX(0,($A63-$B$31)*Допущения!$B$23/(1+Допущения!$B$23)),$A63*Допущения!$B$22))-$B$25-$B$26))*Допущения!$B$25,0)+$B$26</f>
        <v>19137.28</v>
      </c>
      <c r="G63" s="17" t="n">
        <f aca="false">((G$62*$B$37)*($A63-$B$31-$A63*Допущения!$B$17*Допущения!$B$18-IF((Допущения!$B$21=2),MAX(0,($A63-$B$31)*Допущения!$B$23/(1+Допущения!$B$23)),$A63*Допущения!$B$22))-$B$25-$B$26)-IF((Допущения!$B$21=2),MAX(0,((G$62*$B$37)*($A63-$B$31-$A63*Допущения!$B$17*Допущения!$B$18-IF((Допущения!$B$21=2),MAX(0,($A63-$B$31)*Допущения!$B$23/(1+Допущения!$B$23)),$A63*Допущения!$B$22))-$B$25-$B$26))*Допущения!$B$25,0)+$B$26</f>
        <v>132183.04</v>
      </c>
    </row>
    <row r="64" customFormat="false" ht="15" hidden="false" customHeight="false" outlineLevel="0" collapsed="false">
      <c r="A64" s="29" t="n">
        <v>70</v>
      </c>
      <c r="B64" s="17" t="n">
        <f aca="false">((B$62*$B$37)*($A64-$B$31-$A64*Допущения!$B$17*Допущения!$B$18-IF((Допущения!$B$21=2),MAX(0,($A64-$B$31)*Допущения!$B$23/(1+Допущения!$B$23)),$A64*Допущения!$B$22))-$B$25-$B$26)-IF((Допущения!$B$21=2),MAX(0,((B$62*$B$37)*($A64-$B$31-$A64*Допущения!$B$17*Допущения!$B$18-IF((Допущения!$B$21=2),MAX(0,($A64-$B$31)*Допущения!$B$23/(1+Допущения!$B$23)),$A64*Допущения!$B$22))-$B$25-$B$26))*Допущения!$B$25,0)+$B$26</f>
        <v>-125306.24</v>
      </c>
      <c r="C64" s="17" t="n">
        <f aca="false">((C$62*$B$37)*($A64-$B$31-$A64*Допущения!$B$17*Допущения!$B$18-IF((Допущения!$B$21=2),MAX(0,($A64-$B$31)*Допущения!$B$23/(1+Допущения!$B$23)),$A64*Допущения!$B$22))-$B$25-$B$26)-IF((Допущения!$B$21=2),MAX(0,((C$62*$B$37)*($A64-$B$31-$A64*Допущения!$B$17*Допущения!$B$18-IF((Допущения!$B$21=2),MAX(0,($A64-$B$31)*Допущения!$B$23/(1+Допущения!$B$23)),$A64*Допущения!$B$22))-$B$25-$B$26))*Допущения!$B$25,0)+$B$26</f>
        <v>-27959.36</v>
      </c>
      <c r="D64" s="17" t="n">
        <f aca="false">((D$62*$B$37)*($A64-$B$31-$A64*Допущения!$B$17*Допущения!$B$18-IF((Допущения!$B$21=2),MAX(0,($A64-$B$31)*Допущения!$B$23/(1+Допущения!$B$23)),$A64*Допущения!$B$22))-$B$25-$B$26)-IF((Допущения!$B$21=2),MAX(0,((D$62*$B$37)*($A64-$B$31-$A64*Допущения!$B$17*Допущения!$B$18-IF((Допущения!$B$21=2),MAX(0,($A64-$B$31)*Допущения!$B$23/(1+Допущения!$B$23)),$A64*Допущения!$B$22))-$B$25-$B$26))*Допущения!$B$25,0)+$B$26</f>
        <v>69387.52</v>
      </c>
      <c r="E64" s="17" t="n">
        <f aca="false">((E$62*$B$37)*($A64-$B$31-$A64*Допущения!$B$17*Допущения!$B$18-IF((Допущения!$B$21=2),MAX(0,($A64-$B$31)*Допущения!$B$23/(1+Допущения!$B$23)),$A64*Допущения!$B$22))-$B$25-$B$26)-IF((Допущения!$B$21=2),MAX(0,((E$62*$B$37)*($A64-$B$31-$A64*Допущения!$B$17*Допущения!$B$18-IF((Допущения!$B$21=2),MAX(0,($A64-$B$31)*Допущения!$B$23/(1+Допущения!$B$23)),$A64*Допущения!$B$22))-$B$25-$B$26))*Допущения!$B$25,0)+$B$26</f>
        <v>166734.4</v>
      </c>
      <c r="F64" s="17" t="n">
        <f aca="false">((F$62*$B$37)*($A64-$B$31-$A64*Допущения!$B$17*Допущения!$B$18-IF((Допущения!$B$21=2),MAX(0,($A64-$B$31)*Допущения!$B$23/(1+Допущения!$B$23)),$A64*Допущения!$B$22))-$B$25-$B$26)-IF((Допущения!$B$21=2),MAX(0,((F$62*$B$37)*($A64-$B$31-$A64*Допущения!$B$17*Допущения!$B$18-IF((Допущения!$B$21=2),MAX(0,($A64-$B$31)*Допущения!$B$23/(1+Допущения!$B$23)),$A64*Допущения!$B$22))-$B$25-$B$26))*Допущения!$B$25,0)+$B$26</f>
        <v>264081.28</v>
      </c>
      <c r="G64" s="17" t="n">
        <f aca="false">((G$62*$B$37)*($A64-$B$31-$A64*Допущения!$B$17*Допущения!$B$18-IF((Допущения!$B$21=2),MAX(0,($A64-$B$31)*Допущения!$B$23/(1+Допущения!$B$23)),$A64*Допущения!$B$22))-$B$25-$B$26)-IF((Допущения!$B$21=2),MAX(0,((G$62*$B$37)*($A64-$B$31-$A64*Допущения!$B$17*Допущения!$B$18-IF((Допущения!$B$21=2),MAX(0,($A64-$B$31)*Допущения!$B$23/(1+Допущения!$B$23)),$A64*Допущения!$B$22))-$B$25-$B$26))*Допущения!$B$25,0)+$B$26</f>
        <v>458775.04</v>
      </c>
    </row>
    <row r="65" customFormat="false" ht="15" hidden="false" customHeight="false" outlineLevel="0" collapsed="false">
      <c r="A65" s="29" t="n">
        <v>80</v>
      </c>
      <c r="B65" s="17" t="n">
        <f aca="false">((B$62*$B$37)*($A65-$B$31-$A65*Допущения!$B$17*Допущения!$B$18-IF((Допущения!$B$21=2),MAX(0,($A65-$B$31)*Допущения!$B$23/(1+Допущения!$B$23)),$A65*Допущения!$B$22))-$B$25-$B$26)-IF((Допущения!$B$21=2),MAX(0,((B$62*$B$37)*($A65-$B$31-$A65*Допущения!$B$17*Допущения!$B$18-IF((Допущения!$B$21=2),MAX(0,($A65-$B$31)*Допущения!$B$23/(1+Допущения!$B$23)),$A65*Допущения!$B$22))-$B$25-$B$26))*Допущения!$B$25,0)+$B$26</f>
        <v>-43658.24</v>
      </c>
      <c r="C65" s="17" t="n">
        <f aca="false">((C$62*$B$37)*($A65-$B$31-$A65*Допущения!$B$17*Допущения!$B$18-IF((Допущения!$B$21=2),MAX(0,($A65-$B$31)*Допущения!$B$23/(1+Допущения!$B$23)),$A65*Допущения!$B$22))-$B$25-$B$26)-IF((Допущения!$B$21=2),MAX(0,((C$62*$B$37)*($A65-$B$31-$A65*Допущения!$B$17*Допущения!$B$18-IF((Допущения!$B$21=2),MAX(0,($A65-$B$31)*Допущения!$B$23/(1+Допущения!$B$23)),$A65*Допущения!$B$22))-$B$25-$B$26))*Допущения!$B$25,0)+$B$26</f>
        <v>94512.64</v>
      </c>
      <c r="D65" s="17" t="n">
        <f aca="false">((D$62*$B$37)*($A65-$B$31-$A65*Допущения!$B$17*Допущения!$B$18-IF((Допущения!$B$21=2),MAX(0,($A65-$B$31)*Допущения!$B$23/(1+Допущения!$B$23)),$A65*Допущения!$B$22))-$B$25-$B$26)-IF((Допущения!$B$21=2),MAX(0,((D$62*$B$37)*($A65-$B$31-$A65*Допущения!$B$17*Допущения!$B$18-IF((Допущения!$B$21=2),MAX(0,($A65-$B$31)*Допущения!$B$23/(1+Допущения!$B$23)),$A65*Допущения!$B$22))-$B$25-$B$26))*Допущения!$B$25,0)+$B$26</f>
        <v>232683.52</v>
      </c>
      <c r="E65" s="17" t="n">
        <f aca="false">((E$62*$B$37)*($A65-$B$31-$A65*Допущения!$B$17*Допущения!$B$18-IF((Допущения!$B$21=2),MAX(0,($A65-$B$31)*Допущения!$B$23/(1+Допущения!$B$23)),$A65*Допущения!$B$22))-$B$25-$B$26)-IF((Допущения!$B$21=2),MAX(0,((E$62*$B$37)*($A65-$B$31-$A65*Допущения!$B$17*Допущения!$B$18-IF((Допущения!$B$21=2),MAX(0,($A65-$B$31)*Допущения!$B$23/(1+Допущения!$B$23)),$A65*Допущения!$B$22))-$B$25-$B$26))*Допущения!$B$25,0)+$B$26</f>
        <v>370854.4</v>
      </c>
      <c r="F65" s="17" t="n">
        <f aca="false">((F$62*$B$37)*($A65-$B$31-$A65*Допущения!$B$17*Допущения!$B$18-IF((Допущения!$B$21=2),MAX(0,($A65-$B$31)*Допущения!$B$23/(1+Допущения!$B$23)),$A65*Допущения!$B$22))-$B$25-$B$26)-IF((Допущения!$B$21=2),MAX(0,((F$62*$B$37)*($A65-$B$31-$A65*Допущения!$B$17*Допущения!$B$18-IF((Допущения!$B$21=2),MAX(0,($A65-$B$31)*Допущения!$B$23/(1+Допущения!$B$23)),$A65*Допущения!$B$22))-$B$25-$B$26))*Допущения!$B$25,0)+$B$26</f>
        <v>509025.28</v>
      </c>
      <c r="G65" s="17" t="n">
        <f aca="false">((G$62*$B$37)*($A65-$B$31-$A65*Допущения!$B$17*Допущения!$B$18-IF((Допущения!$B$21=2),MAX(0,($A65-$B$31)*Допущения!$B$23/(1+Допущения!$B$23)),$A65*Допущения!$B$22))-$B$25-$B$26)-IF((Допущения!$B$21=2),MAX(0,((G$62*$B$37)*($A65-$B$31-$A65*Допущения!$B$17*Допущения!$B$18-IF((Допущения!$B$21=2),MAX(0,($A65-$B$31)*Допущения!$B$23/(1+Допущения!$B$23)),$A65*Допущения!$B$22))-$B$25-$B$26))*Допущения!$B$25,0)+$B$26</f>
        <v>785367.04</v>
      </c>
    </row>
    <row r="66" customFormat="false" ht="15" hidden="false" customHeight="false" outlineLevel="0" collapsed="false">
      <c r="A66" s="29" t="n">
        <v>90</v>
      </c>
      <c r="B66" s="17" t="n">
        <f aca="false">((B$62*$B$37)*($A66-$B$31-$A66*Допущения!$B$17*Допущения!$B$18-IF((Допущения!$B$21=2),MAX(0,($A66-$B$31)*Допущения!$B$23/(1+Допущения!$B$23)),$A66*Допущения!$B$22))-$B$25-$B$26)-IF((Допущения!$B$21=2),MAX(0,((B$62*$B$37)*($A66-$B$31-$A66*Допущения!$B$17*Допущения!$B$18-IF((Допущения!$B$21=2),MAX(0,($A66-$B$31)*Допущения!$B$23/(1+Допущения!$B$23)),$A66*Допущения!$B$22))-$B$25-$B$26))*Допущения!$B$25,0)+$B$26</f>
        <v>37989.76</v>
      </c>
      <c r="C66" s="17" t="n">
        <f aca="false">((C$62*$B$37)*($A66-$B$31-$A66*Допущения!$B$17*Допущения!$B$18-IF((Допущения!$B$21=2),MAX(0,($A66-$B$31)*Допущения!$B$23/(1+Допущения!$B$23)),$A66*Допущения!$B$22))-$B$25-$B$26)-IF((Допущения!$B$21=2),MAX(0,((C$62*$B$37)*($A66-$B$31-$A66*Допущения!$B$17*Допущения!$B$18-IF((Допущения!$B$21=2),MAX(0,($A66-$B$31)*Допущения!$B$23/(1+Допущения!$B$23)),$A66*Допущения!$B$22))-$B$25-$B$26))*Допущения!$B$25,0)+$B$26</f>
        <v>216984.64</v>
      </c>
      <c r="D66" s="17" t="n">
        <f aca="false">((D$62*$B$37)*($A66-$B$31-$A66*Допущения!$B$17*Допущения!$B$18-IF((Допущения!$B$21=2),MAX(0,($A66-$B$31)*Допущения!$B$23/(1+Допущения!$B$23)),$A66*Допущения!$B$22))-$B$25-$B$26)-IF((Допущения!$B$21=2),MAX(0,((D$62*$B$37)*($A66-$B$31-$A66*Допущения!$B$17*Допущения!$B$18-IF((Допущения!$B$21=2),MAX(0,($A66-$B$31)*Допущения!$B$23/(1+Допущения!$B$23)),$A66*Допущения!$B$22))-$B$25-$B$26))*Допущения!$B$25,0)+$B$26</f>
        <v>395979.52</v>
      </c>
      <c r="E66" s="17" t="n">
        <f aca="false">((E$62*$B$37)*($A66-$B$31-$A66*Допущения!$B$17*Допущения!$B$18-IF((Допущения!$B$21=2),MAX(0,($A66-$B$31)*Допущения!$B$23/(1+Допущения!$B$23)),$A66*Допущения!$B$22))-$B$25-$B$26)-IF((Допущения!$B$21=2),MAX(0,((E$62*$B$37)*($A66-$B$31-$A66*Допущения!$B$17*Допущения!$B$18-IF((Допущения!$B$21=2),MAX(0,($A66-$B$31)*Допущения!$B$23/(1+Допущения!$B$23)),$A66*Допущения!$B$22))-$B$25-$B$26))*Допущения!$B$25,0)+$B$26</f>
        <v>574974.4</v>
      </c>
      <c r="F66" s="17" t="n">
        <f aca="false">((F$62*$B$37)*($A66-$B$31-$A66*Допущения!$B$17*Допущения!$B$18-IF((Допущения!$B$21=2),MAX(0,($A66-$B$31)*Допущения!$B$23/(1+Допущения!$B$23)),$A66*Допущения!$B$22))-$B$25-$B$26)-IF((Допущения!$B$21=2),MAX(0,((F$62*$B$37)*($A66-$B$31-$A66*Допущения!$B$17*Допущения!$B$18-IF((Допущения!$B$21=2),MAX(0,($A66-$B$31)*Допущения!$B$23/(1+Допущения!$B$23)),$A66*Допущения!$B$22))-$B$25-$B$26))*Допущения!$B$25,0)+$B$26</f>
        <v>753969.28</v>
      </c>
      <c r="G66" s="17" t="n">
        <f aca="false">((G$62*$B$37)*($A66-$B$31-$A66*Допущения!$B$17*Допущения!$B$18-IF((Допущения!$B$21=2),MAX(0,($A66-$B$31)*Допущения!$B$23/(1+Допущения!$B$23)),$A66*Допущения!$B$22))-$B$25-$B$26)-IF((Допущения!$B$21=2),MAX(0,((G$62*$B$37)*($A66-$B$31-$A66*Допущения!$B$17*Допущения!$B$18-IF((Допущения!$B$21=2),MAX(0,($A66-$B$31)*Допущения!$B$23/(1+Допущения!$B$23)),$A66*Допущения!$B$22))-$B$25-$B$26))*Допущения!$B$25,0)+$B$26</f>
        <v>1111959.04</v>
      </c>
    </row>
    <row r="67" customFormat="false" ht="15" hidden="false" customHeight="false" outlineLevel="0" collapsed="false">
      <c r="A67" s="29" t="n">
        <v>100</v>
      </c>
      <c r="B67" s="17" t="n">
        <f aca="false">((B$62*$B$37)*($A67-$B$31-$A67*Допущения!$B$17*Допущения!$B$18-IF((Допущения!$B$21=2),MAX(0,($A67-$B$31)*Допущения!$B$23/(1+Допущения!$B$23)),$A67*Допущения!$B$22))-$B$25-$B$26)-IF((Допущения!$B$21=2),MAX(0,((B$62*$B$37)*($A67-$B$31-$A67*Допущения!$B$17*Допущения!$B$18-IF((Допущения!$B$21=2),MAX(0,($A67-$B$31)*Допущения!$B$23/(1+Допущения!$B$23)),$A67*Допущения!$B$22))-$B$25-$B$26))*Допущения!$B$25,0)+$B$26</f>
        <v>119637.76</v>
      </c>
      <c r="C67" s="17" t="n">
        <f aca="false">((C$62*$B$37)*($A67-$B$31-$A67*Допущения!$B$17*Допущения!$B$18-IF((Допущения!$B$21=2),MAX(0,($A67-$B$31)*Допущения!$B$23/(1+Допущения!$B$23)),$A67*Допущения!$B$22))-$B$25-$B$26)-IF((Допущения!$B$21=2),MAX(0,((C$62*$B$37)*($A67-$B$31-$A67*Допущения!$B$17*Допущения!$B$18-IF((Допущения!$B$21=2),MAX(0,($A67-$B$31)*Допущения!$B$23/(1+Допущения!$B$23)),$A67*Допущения!$B$22))-$B$25-$B$26))*Допущения!$B$25,0)+$B$26</f>
        <v>339456.64</v>
      </c>
      <c r="D67" s="17" t="n">
        <f aca="false">((D$62*$B$37)*($A67-$B$31-$A67*Допущения!$B$17*Допущения!$B$18-IF((Допущения!$B$21=2),MAX(0,($A67-$B$31)*Допущения!$B$23/(1+Допущения!$B$23)),$A67*Допущения!$B$22))-$B$25-$B$26)-IF((Допущения!$B$21=2),MAX(0,((D$62*$B$37)*($A67-$B$31-$A67*Допущения!$B$17*Допущения!$B$18-IF((Допущения!$B$21=2),MAX(0,($A67-$B$31)*Допущения!$B$23/(1+Допущения!$B$23)),$A67*Допущения!$B$22))-$B$25-$B$26))*Допущения!$B$25,0)+$B$26</f>
        <v>559275.52</v>
      </c>
      <c r="E67" s="17" t="n">
        <f aca="false">((E$62*$B$37)*($A67-$B$31-$A67*Допущения!$B$17*Допущения!$B$18-IF((Допущения!$B$21=2),MAX(0,($A67-$B$31)*Допущения!$B$23/(1+Допущения!$B$23)),$A67*Допущения!$B$22))-$B$25-$B$26)-IF((Допущения!$B$21=2),MAX(0,((E$62*$B$37)*($A67-$B$31-$A67*Допущения!$B$17*Допущения!$B$18-IF((Допущения!$B$21=2),MAX(0,($A67-$B$31)*Допущения!$B$23/(1+Допущения!$B$23)),$A67*Допущения!$B$22))-$B$25-$B$26))*Допущения!$B$25,0)+$B$26</f>
        <v>779094.4</v>
      </c>
      <c r="F67" s="17" t="n">
        <f aca="false">((F$62*$B$37)*($A67-$B$31-$A67*Допущения!$B$17*Допущения!$B$18-IF((Допущения!$B$21=2),MAX(0,($A67-$B$31)*Допущения!$B$23/(1+Допущения!$B$23)),$A67*Допущения!$B$22))-$B$25-$B$26)-IF((Допущения!$B$21=2),MAX(0,((F$62*$B$37)*($A67-$B$31-$A67*Допущения!$B$17*Допущения!$B$18-IF((Допущения!$B$21=2),MAX(0,($A67-$B$31)*Допущения!$B$23/(1+Допущения!$B$23)),$A67*Допущения!$B$22))-$B$25-$B$26))*Допущения!$B$25,0)+$B$26</f>
        <v>998913.28</v>
      </c>
      <c r="G67" s="17" t="n">
        <f aca="false">((G$62*$B$37)*($A67-$B$31-$A67*Допущения!$B$17*Допущения!$B$18-IF((Допущения!$B$21=2),MAX(0,($A67-$B$31)*Допущения!$B$23/(1+Допущения!$B$23)),$A67*Допущения!$B$22))-$B$25-$B$26)-IF((Допущения!$B$21=2),MAX(0,((G$62*$B$37)*($A67-$B$31-$A67*Допущения!$B$17*Допущения!$B$18-IF((Допущения!$B$21=2),MAX(0,($A67-$B$31)*Допущения!$B$23/(1+Допущения!$B$23)),$A67*Допущения!$B$22))-$B$25-$B$26))*Допущения!$B$25,0)+$B$26</f>
        <v>1438551.04</v>
      </c>
    </row>
    <row r="68" customFormat="false" ht="15" hidden="false" customHeight="false" outlineLevel="0" collapsed="false">
      <c r="A68" s="16" t="s">
        <v>280</v>
      </c>
    </row>
    <row r="70" customFormat="false" ht="15" hidden="false" customHeight="false" outlineLevel="0" collapsed="false">
      <c r="A70" s="6" t="s">
        <v>281</v>
      </c>
      <c r="B70" s="7"/>
      <c r="C70" s="7"/>
      <c r="D70" s="7"/>
      <c r="E70" s="7"/>
      <c r="F70" s="7"/>
      <c r="G70" s="7"/>
      <c r="H70" s="7"/>
    </row>
    <row r="71" customFormat="false" ht="15" hidden="false" customHeight="false" outlineLevel="0" collapsed="false">
      <c r="A71" s="5" t="s">
        <v>35</v>
      </c>
      <c r="B71" s="5" t="s">
        <v>282</v>
      </c>
      <c r="C71" s="5" t="s">
        <v>283</v>
      </c>
      <c r="D71" s="5"/>
      <c r="E71" s="5"/>
      <c r="F71" s="5"/>
      <c r="G71" s="5"/>
      <c r="H71" s="5" t="s">
        <v>284</v>
      </c>
    </row>
    <row r="72" customFormat="false" ht="15" hidden="false" customHeight="false" outlineLevel="0" collapsed="false">
      <c r="A72" s="3" t="s">
        <v>285</v>
      </c>
      <c r="B72" s="17" t="n">
        <f aca="false">Допущения!$B$48</f>
        <v>35</v>
      </c>
      <c r="C72" s="17" t="n">
        <f aca="false">IF(Допущения!$B$49=0,0,Допущения!$B$48/Допущения!$B$49)</f>
        <v>70</v>
      </c>
      <c r="H72" s="16" t="s">
        <v>286</v>
      </c>
    </row>
    <row r="73" customFormat="false" ht="15" hidden="false" customHeight="false" outlineLevel="0" collapsed="false">
      <c r="A73" s="3" t="s">
        <v>287</v>
      </c>
      <c r="B73" s="24" t="n">
        <f aca="false">IF(B72=0,0,60/B72)</f>
        <v>1.71428571428571</v>
      </c>
      <c r="C73" s="24" t="n">
        <f aca="false">IF(C72=0,0,60/C72)</f>
        <v>0.857142857142857</v>
      </c>
      <c r="H73" s="16" t="s">
        <v>288</v>
      </c>
    </row>
    <row r="74" customFormat="false" ht="15" hidden="false" customHeight="false" outlineLevel="0" collapsed="false">
      <c r="A74" s="3" t="s">
        <v>289</v>
      </c>
      <c r="B74" s="17" t="n">
        <f aca="false">B73*Допущения!$B$8*Допущения!$B$13</f>
        <v>2742.85714285714</v>
      </c>
      <c r="C74" s="17" t="n">
        <f aca="false">C73*Допущения!$B$8*Допущения!$B$13</f>
        <v>1371.42857142857</v>
      </c>
      <c r="H74" s="16" t="s">
        <v>290</v>
      </c>
    </row>
    <row r="75" customFormat="false" ht="15" hidden="false" customHeight="false" outlineLevel="0" collapsed="false">
      <c r="A75" s="3" t="s">
        <v>291</v>
      </c>
      <c r="B75" s="30" t="n">
        <f aca="false">IF(B72=0,0,Допущения!$B$8*Допущения!$B$13/B72)</f>
        <v>45.7142857142857</v>
      </c>
      <c r="C75" s="30" t="n">
        <f aca="false">B75</f>
        <v>45.7142857142857</v>
      </c>
      <c r="H75" s="16" t="s">
        <v>292</v>
      </c>
    </row>
    <row r="76" customFormat="false" ht="15" hidden="false" customHeight="false" outlineLevel="0" collapsed="false">
      <c r="A76" s="3" t="s">
        <v>293</v>
      </c>
      <c r="B76" s="17" t="n">
        <f aca="false">B75*B72</f>
        <v>1600</v>
      </c>
      <c r="C76" s="17" t="n">
        <f aca="false">C75*C72</f>
        <v>3200</v>
      </c>
      <c r="H76" s="16" t="s">
        <v>294</v>
      </c>
    </row>
    <row r="78" customFormat="false" ht="15" hidden="false" customHeight="false" outlineLevel="0" collapsed="false">
      <c r="A78" s="16" t="s">
        <v>295</v>
      </c>
    </row>
    <row r="79" customFormat="false" ht="15" hidden="false" customHeight="false" outlineLevel="0" collapsed="false">
      <c r="A79" s="16" t="s">
        <v>296</v>
      </c>
    </row>
  </sheetData>
  <conditionalFormatting sqref="B63:G67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70"/>
  </cols>
  <sheetData>
    <row r="1" customFormat="false" ht="17.35" hidden="false" customHeight="false" outlineLevel="0" collapsed="false">
      <c r="A1" s="1" t="s">
        <v>297</v>
      </c>
    </row>
    <row r="2" customFormat="false" ht="15" hidden="false" customHeight="false" outlineLevel="0" collapsed="false">
      <c r="A2" s="2" t="s">
        <v>298</v>
      </c>
    </row>
    <row r="3" customFormat="false" ht="15" hidden="false" customHeight="false" outlineLevel="0" collapsed="false">
      <c r="A3" s="5" t="s">
        <v>35</v>
      </c>
      <c r="B3" s="5" t="s">
        <v>36</v>
      </c>
      <c r="C3" s="5" t="s">
        <v>37</v>
      </c>
      <c r="D3" s="5" t="s">
        <v>284</v>
      </c>
    </row>
    <row r="4" customFormat="false" ht="15" hidden="false" customHeight="false" outlineLevel="0" collapsed="false">
      <c r="A4" s="6" t="s">
        <v>299</v>
      </c>
      <c r="B4" s="7"/>
      <c r="C4" s="7"/>
      <c r="D4" s="7"/>
    </row>
    <row r="5" customFormat="false" ht="15" hidden="false" customHeight="false" outlineLevel="0" collapsed="false">
      <c r="A5" s="3" t="s">
        <v>300</v>
      </c>
      <c r="B5" s="17" t="n">
        <f aca="false">Безубыток!$B$37*Допущения!$B$7</f>
        <v>12960</v>
      </c>
      <c r="C5" s="3" t="s">
        <v>50</v>
      </c>
      <c r="D5" s="16"/>
    </row>
    <row r="6" customFormat="false" ht="15" hidden="false" customHeight="false" outlineLevel="0" collapsed="false">
      <c r="A6" s="3" t="s">
        <v>301</v>
      </c>
      <c r="B6" s="17" t="n">
        <f aca="false">B5/Допущения!$B$8</f>
        <v>648</v>
      </c>
      <c r="C6" s="3" t="s">
        <v>44</v>
      </c>
      <c r="D6" s="16"/>
    </row>
    <row r="7" customFormat="false" ht="15" hidden="false" customHeight="false" outlineLevel="0" collapsed="false">
      <c r="A7" s="19" t="s">
        <v>302</v>
      </c>
      <c r="B7" s="18" t="n">
        <f aca="false">B5*Безубыток!$B$34-Безубыток!$B$25-IF((Допущения!$B$21=2),MAX(0,B5*Безубыток!$B$34-Безубыток!$B$25-Безубыток!$B$26)*Допущения!$B$25,0)</f>
        <v>94512.64</v>
      </c>
      <c r="C7" s="3" t="s">
        <v>89</v>
      </c>
      <c r="D7" s="16" t="s">
        <v>303</v>
      </c>
    </row>
    <row r="9" customFormat="false" ht="15" hidden="false" customHeight="false" outlineLevel="0" collapsed="false">
      <c r="A9" s="6" t="s">
        <v>304</v>
      </c>
      <c r="B9" s="7"/>
      <c r="C9" s="7"/>
      <c r="D9" s="7"/>
    </row>
    <row r="10" customFormat="false" ht="15" hidden="false" customHeight="false" outlineLevel="0" collapsed="false">
      <c r="A10" s="3" t="s">
        <v>305</v>
      </c>
      <c r="B10" s="10" t="n">
        <v>0.4</v>
      </c>
      <c r="C10" s="3" t="s">
        <v>47</v>
      </c>
      <c r="D10" s="16" t="s">
        <v>306</v>
      </c>
    </row>
    <row r="11" customFormat="false" ht="15" hidden="false" customHeight="false" outlineLevel="0" collapsed="false">
      <c r="A11" s="3" t="s">
        <v>307</v>
      </c>
      <c r="B11" s="8" t="n">
        <v>1200</v>
      </c>
      <c r="C11" s="3" t="s">
        <v>60</v>
      </c>
      <c r="D11" s="16" t="s">
        <v>308</v>
      </c>
    </row>
    <row r="12" customFormat="false" ht="15" hidden="false" customHeight="false" outlineLevel="0" collapsed="false">
      <c r="A12" s="3" t="s">
        <v>309</v>
      </c>
      <c r="B12" s="8" t="n">
        <v>336</v>
      </c>
      <c r="C12" s="3" t="s">
        <v>60</v>
      </c>
      <c r="D12" s="16" t="s">
        <v>310</v>
      </c>
    </row>
    <row r="13" customFormat="false" ht="15" hidden="false" customHeight="false" outlineLevel="0" collapsed="false">
      <c r="A13" s="3" t="s">
        <v>311</v>
      </c>
      <c r="B13" s="8" t="n">
        <v>150000</v>
      </c>
      <c r="C13" s="3" t="s">
        <v>89</v>
      </c>
      <c r="D13" s="16" t="s">
        <v>312</v>
      </c>
    </row>
    <row r="14" customFormat="false" ht="15" hidden="false" customHeight="false" outlineLevel="0" collapsed="false">
      <c r="A14" s="3" t="s">
        <v>313</v>
      </c>
      <c r="B14" s="17" t="n">
        <f aca="false">$B$11-$B$12</f>
        <v>864</v>
      </c>
      <c r="C14" s="3" t="s">
        <v>60</v>
      </c>
      <c r="D14" s="16" t="s">
        <v>314</v>
      </c>
    </row>
    <row r="15" customFormat="false" ht="15" hidden="false" customHeight="false" outlineLevel="0" collapsed="false">
      <c r="A15" s="19" t="s">
        <v>315</v>
      </c>
      <c r="B15" s="20" t="n">
        <f aca="false">(B6*$B$10*$B$11*IF((Допущения!$B$21=2),(1-Допущения!$B$23/(1+Допущения!$B$23))*(1-Допущения!$B$25),1-Допущения!$B$22)-B6*$B$10*$B$12*IF((Допущения!$B$21=2),1-Допущения!$B$25,1)-$B$13*IF((Допущения!$B$21=2),1-Допущения!$B$25,1))</f>
        <v>61507.2</v>
      </c>
      <c r="C15" s="3" t="s">
        <v>89</v>
      </c>
      <c r="D15" s="16"/>
    </row>
    <row r="17" customFormat="false" ht="15" hidden="false" customHeight="false" outlineLevel="0" collapsed="false">
      <c r="A17" s="6" t="s">
        <v>316</v>
      </c>
      <c r="B17" s="7"/>
      <c r="C17" s="7"/>
      <c r="D17" s="7"/>
    </row>
    <row r="18" customFormat="false" ht="15" hidden="false" customHeight="false" outlineLevel="0" collapsed="false">
      <c r="A18" s="3" t="s">
        <v>317</v>
      </c>
      <c r="B18" s="8" t="n">
        <v>30</v>
      </c>
      <c r="C18" s="3" t="s">
        <v>318</v>
      </c>
      <c r="D18" s="16" t="s">
        <v>319</v>
      </c>
    </row>
    <row r="19" customFormat="false" ht="15" hidden="false" customHeight="false" outlineLevel="0" collapsed="false">
      <c r="A19" s="3" t="s">
        <v>320</v>
      </c>
      <c r="B19" s="8" t="n">
        <v>5000</v>
      </c>
      <c r="C19" s="3" t="s">
        <v>89</v>
      </c>
      <c r="D19" s="16" t="s">
        <v>321</v>
      </c>
    </row>
    <row r="20" customFormat="false" ht="15" hidden="false" customHeight="false" outlineLevel="0" collapsed="false">
      <c r="A20" s="3" t="s">
        <v>322</v>
      </c>
      <c r="B20" s="8" t="n">
        <v>150</v>
      </c>
      <c r="C20" s="3" t="s">
        <v>323</v>
      </c>
      <c r="D20" s="16" t="s">
        <v>324</v>
      </c>
    </row>
    <row r="21" customFormat="false" ht="15" hidden="false" customHeight="false" outlineLevel="0" collapsed="false">
      <c r="A21" s="3" t="s">
        <v>325</v>
      </c>
      <c r="B21" s="10" t="n">
        <v>0.15</v>
      </c>
      <c r="C21" s="3" t="s">
        <v>47</v>
      </c>
      <c r="D21" s="16"/>
    </row>
    <row r="22" customFormat="false" ht="15" hidden="false" customHeight="false" outlineLevel="0" collapsed="false">
      <c r="A22" s="19" t="s">
        <v>315</v>
      </c>
      <c r="B22" s="20" t="n">
        <f aca="false">($B$18*$B$19-$B$18*$B$20*Допущения!$B$13*$B$21)*IF((Допущения!$B$21=2),(1-Допущения!$B$23/(1+Допущения!$B$23))*(1-Допущения!$B$25),1-Допущения!$B$22)</f>
        <v>92160</v>
      </c>
      <c r="C22" s="3" t="s">
        <v>89</v>
      </c>
      <c r="D22" s="16"/>
    </row>
    <row r="24" customFormat="false" ht="15" hidden="false" customHeight="false" outlineLevel="0" collapsed="false">
      <c r="A24" s="6" t="s">
        <v>326</v>
      </c>
      <c r="B24" s="7"/>
      <c r="C24" s="7"/>
      <c r="D24" s="7"/>
    </row>
    <row r="25" customFormat="false" ht="15" hidden="false" customHeight="false" outlineLevel="0" collapsed="false">
      <c r="A25" s="3" t="s">
        <v>327</v>
      </c>
      <c r="B25" s="8" t="n">
        <v>10</v>
      </c>
      <c r="C25" s="3" t="s">
        <v>44</v>
      </c>
      <c r="D25" s="16" t="s">
        <v>328</v>
      </c>
    </row>
    <row r="26" customFormat="false" ht="15" hidden="false" customHeight="false" outlineLevel="0" collapsed="false">
      <c r="A26" s="3" t="s">
        <v>329</v>
      </c>
      <c r="B26" s="8" t="n">
        <v>40</v>
      </c>
      <c r="C26" s="3" t="s">
        <v>50</v>
      </c>
      <c r="D26" s="16" t="s">
        <v>330</v>
      </c>
    </row>
    <row r="27" customFormat="false" ht="15" hidden="false" customHeight="false" outlineLevel="0" collapsed="false">
      <c r="A27" s="3" t="s">
        <v>331</v>
      </c>
      <c r="B27" s="8" t="n">
        <v>65</v>
      </c>
      <c r="C27" s="3" t="s">
        <v>63</v>
      </c>
      <c r="D27" s="16" t="s">
        <v>332</v>
      </c>
    </row>
    <row r="28" customFormat="false" ht="15" hidden="false" customHeight="false" outlineLevel="0" collapsed="false">
      <c r="A28" s="3" t="s">
        <v>333</v>
      </c>
      <c r="B28" s="17" t="n">
        <f aca="false">$B$25*$B$26*Допущения!$B$10</f>
        <v>12000</v>
      </c>
      <c r="C28" s="3" t="s">
        <v>50</v>
      </c>
      <c r="D28" s="16"/>
    </row>
    <row r="29" customFormat="false" ht="15" hidden="false" customHeight="false" outlineLevel="0" collapsed="false">
      <c r="A29" s="3" t="s">
        <v>334</v>
      </c>
      <c r="B29" s="24" t="n">
        <f aca="false">$B$27-Безубыток!$B$31-$B$27*Допущения!$B$17*Допущения!$B$18-IF((Допущения!$B$21=2),MAX(0,($B$27-Безубыток!$B$31)*Допущения!$B$23/(1+Допущения!$B$23)),$B$27*Допущения!$B$22)</f>
        <v>17.809</v>
      </c>
      <c r="C29" s="3" t="s">
        <v>60</v>
      </c>
      <c r="D29" s="16"/>
    </row>
    <row r="30" customFormat="false" ht="15" hidden="false" customHeight="false" outlineLevel="0" collapsed="false">
      <c r="A30" s="19" t="s">
        <v>315</v>
      </c>
      <c r="B30" s="20" t="n">
        <f aca="false">$B$28*$B$29*IF((Допущения!$B$21=2),1-Допущения!$B$25,1)</f>
        <v>213708</v>
      </c>
      <c r="C30" s="3" t="s">
        <v>89</v>
      </c>
      <c r="D30" s="16"/>
    </row>
    <row r="31" customFormat="false" ht="15" hidden="false" customHeight="false" outlineLevel="0" collapsed="false">
      <c r="A31" s="3" t="s">
        <v>335</v>
      </c>
      <c r="B31" s="21" t="n">
        <f aca="false">IF(Безубыток!$B$37=0,0,(B5+$B$28)/Безубыток!$B$37)</f>
        <v>0.288888888888889</v>
      </c>
      <c r="C31" s="3" t="s">
        <v>47</v>
      </c>
      <c r="D31" s="16" t="s">
        <v>336</v>
      </c>
    </row>
    <row r="33" customFormat="false" ht="15" hidden="false" customHeight="false" outlineLevel="0" collapsed="false">
      <c r="A33" s="6" t="s">
        <v>337</v>
      </c>
      <c r="B33" s="7"/>
      <c r="C33" s="7"/>
      <c r="D33" s="7"/>
    </row>
    <row r="34" customFormat="false" ht="15" hidden="false" customHeight="false" outlineLevel="0" collapsed="false">
      <c r="A34" s="3" t="s">
        <v>338</v>
      </c>
      <c r="B34" s="8" t="n">
        <v>50000</v>
      </c>
      <c r="C34" s="3" t="s">
        <v>89</v>
      </c>
      <c r="D34" s="16" t="s">
        <v>339</v>
      </c>
    </row>
    <row r="35" customFormat="false" ht="15" hidden="false" customHeight="false" outlineLevel="0" collapsed="false">
      <c r="A35" s="3" t="s">
        <v>340</v>
      </c>
      <c r="B35" s="10" t="n">
        <v>0.2</v>
      </c>
      <c r="C35" s="3" t="s">
        <v>47</v>
      </c>
      <c r="D35" s="16" t="s">
        <v>341</v>
      </c>
    </row>
    <row r="36" customFormat="false" ht="15" hidden="false" customHeight="false" outlineLevel="0" collapsed="false">
      <c r="A36" s="3" t="s">
        <v>342</v>
      </c>
      <c r="B36" s="8" t="n">
        <v>15</v>
      </c>
      <c r="C36" s="3" t="s">
        <v>124</v>
      </c>
      <c r="D36" s="16" t="s">
        <v>343</v>
      </c>
    </row>
    <row r="37" customFormat="false" ht="15" hidden="false" customHeight="false" outlineLevel="0" collapsed="false">
      <c r="A37" s="3" t="s">
        <v>344</v>
      </c>
      <c r="B37" s="8" t="n">
        <v>30</v>
      </c>
      <c r="C37" s="3" t="s">
        <v>345</v>
      </c>
      <c r="D37" s="16" t="s">
        <v>346</v>
      </c>
    </row>
    <row r="38" customFormat="false" ht="15" hidden="false" customHeight="false" outlineLevel="0" collapsed="false">
      <c r="A38" s="19" t="s">
        <v>315</v>
      </c>
      <c r="B38" s="20" t="n">
        <f aca="false">($B$34+B6*$B$35*$B$36*$B$37)*IF((Допущения!$B$21=2),(1-Допущения!$B$23/(1+Допущения!$B$23))*(1-Допущения!$B$25),1-Допущения!$B$22)</f>
        <v>103987.2</v>
      </c>
      <c r="C38" s="3" t="s">
        <v>89</v>
      </c>
      <c r="D38" s="16"/>
    </row>
    <row r="40" customFormat="false" ht="15" hidden="false" customHeight="false" outlineLevel="0" collapsed="false">
      <c r="A40" s="6" t="s">
        <v>347</v>
      </c>
      <c r="B40" s="7"/>
      <c r="C40" s="7"/>
      <c r="D40" s="7"/>
    </row>
    <row r="41" customFormat="false" ht="15" hidden="false" customHeight="false" outlineLevel="0" collapsed="false">
      <c r="A41" s="3" t="s">
        <v>348</v>
      </c>
      <c r="B41" s="10" t="n">
        <v>0.05</v>
      </c>
      <c r="C41" s="3" t="s">
        <v>349</v>
      </c>
      <c r="D41" s="16" t="s">
        <v>350</v>
      </c>
    </row>
    <row r="42" customFormat="false" ht="15" hidden="false" customHeight="false" outlineLevel="0" collapsed="false">
      <c r="A42" s="19" t="s">
        <v>315</v>
      </c>
      <c r="B42" s="20" t="n">
        <f aca="false">Безубыток!$B$37*$B$41*Безубыток!$B$34*IF((Допущения!$B$21=2),1-Допущения!$B$25,1)</f>
        <v>138170.88</v>
      </c>
      <c r="C42" s="3" t="s">
        <v>89</v>
      </c>
      <c r="D42" s="16"/>
    </row>
    <row r="44" customFormat="false" ht="15" hidden="false" customHeight="false" outlineLevel="0" collapsed="false">
      <c r="A44" s="6" t="s">
        <v>351</v>
      </c>
      <c r="B44" s="7"/>
      <c r="C44" s="7"/>
      <c r="D44" s="7"/>
    </row>
    <row r="45" customFormat="false" ht="15" hidden="false" customHeight="false" outlineLevel="0" collapsed="false">
      <c r="A45" s="19" t="s">
        <v>352</v>
      </c>
      <c r="B45" s="18" t="n">
        <f aca="false">B7+$B$15+$B$22+$B$30+$B$38+$B$42</f>
        <v>704045.92</v>
      </c>
      <c r="C45" s="3" t="s">
        <v>89</v>
      </c>
      <c r="D45" s="16"/>
    </row>
    <row r="46" customFormat="false" ht="15" hidden="false" customHeight="false" outlineLevel="0" collapsed="false">
      <c r="A46" s="19" t="s">
        <v>353</v>
      </c>
      <c r="B46" s="27" t="n">
        <f aca="false">IF(B7&lt;=0,"не окупается",Безубыток!$B$11/B7/12)</f>
        <v>22.9246232743754</v>
      </c>
      <c r="C46" s="3" t="s">
        <v>112</v>
      </c>
      <c r="D46" s="16"/>
    </row>
    <row r="47" customFormat="false" ht="15" hidden="false" customHeight="false" outlineLevel="0" collapsed="false">
      <c r="A47" s="19" t="s">
        <v>354</v>
      </c>
      <c r="B47" s="31" t="n">
        <f aca="false">IF($B$45&lt;=0,"не окупается",Безубыток!$B$11/$B$45/12)</f>
        <v>3.07745078143009</v>
      </c>
      <c r="C47" s="3" t="s">
        <v>112</v>
      </c>
      <c r="D47" s="16"/>
    </row>
    <row r="49" customFormat="false" ht="15" hidden="false" customHeight="false" outlineLevel="0" collapsed="false">
      <c r="A49" s="6" t="s">
        <v>355</v>
      </c>
      <c r="B49" s="7"/>
      <c r="C49" s="7"/>
      <c r="D49" s="7"/>
    </row>
    <row r="50" customFormat="false" ht="15" hidden="false" customHeight="false" outlineLevel="0" collapsed="false">
      <c r="A50" s="3" t="s">
        <v>356</v>
      </c>
      <c r="B50" s="10" t="n">
        <v>0.1</v>
      </c>
      <c r="C50" s="3" t="s">
        <v>47</v>
      </c>
      <c r="D50" s="16" t="s">
        <v>357</v>
      </c>
    </row>
    <row r="51" customFormat="false" ht="15" hidden="false" customHeight="false" outlineLevel="0" collapsed="false">
      <c r="A51" s="3" t="s">
        <v>358</v>
      </c>
      <c r="B51" s="17" t="n">
        <f aca="false">0</f>
        <v>0</v>
      </c>
      <c r="C51" s="3" t="s">
        <v>60</v>
      </c>
      <c r="D51" s="16" t="s">
        <v>359</v>
      </c>
    </row>
    <row r="52" customFormat="false" ht="15" hidden="false" customHeight="false" outlineLevel="0" collapsed="false">
      <c r="A52" s="19" t="s">
        <v>360</v>
      </c>
      <c r="B52" s="18" t="n">
        <f aca="false">B5*Допущения!$B$13*$B$50*(1-Допущения!$B$22)</f>
        <v>99532.8</v>
      </c>
      <c r="C52" s="3" t="s">
        <v>89</v>
      </c>
      <c r="D52" s="16" t="s">
        <v>361</v>
      </c>
    </row>
    <row r="53" customFormat="false" ht="15" hidden="false" customHeight="false" outlineLevel="0" collapsed="false">
      <c r="A53" s="3" t="s">
        <v>362</v>
      </c>
      <c r="B53" s="17" t="n">
        <f aca="false">B7</f>
        <v>94512.64</v>
      </c>
      <c r="C53" s="3" t="s">
        <v>89</v>
      </c>
      <c r="D53" s="16" t="s">
        <v>363</v>
      </c>
    </row>
    <row r="55" customFormat="false" ht="15" hidden="false" customHeight="false" outlineLevel="0" collapsed="false">
      <c r="A55" s="16" t="s">
        <v>364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16"/>
    <col collapsed="false" customWidth="true" hidden="false" outlineLevel="0" max="3" min="3" style="0" width="12"/>
    <col collapsed="false" customWidth="true" hidden="false" outlineLevel="0" max="4" min="4" style="0" width="70"/>
  </cols>
  <sheetData>
    <row r="1" customFormat="false" ht="17.35" hidden="false" customHeight="false" outlineLevel="0" collapsed="false">
      <c r="A1" s="1" t="s">
        <v>365</v>
      </c>
    </row>
    <row r="2" customFormat="false" ht="15" hidden="false" customHeight="false" outlineLevel="0" collapsed="false">
      <c r="A2" s="2" t="s">
        <v>366</v>
      </c>
    </row>
    <row r="3" customFormat="false" ht="15" hidden="false" customHeight="false" outlineLevel="0" collapsed="false">
      <c r="A3" s="5" t="s">
        <v>35</v>
      </c>
      <c r="B3" s="5" t="s">
        <v>36</v>
      </c>
      <c r="C3" s="5" t="s">
        <v>37</v>
      </c>
      <c r="D3" s="5" t="s">
        <v>284</v>
      </c>
    </row>
    <row r="4" customFormat="false" ht="15" hidden="false" customHeight="false" outlineLevel="0" collapsed="false">
      <c r="A4" s="6" t="s">
        <v>367</v>
      </c>
      <c r="B4" s="7"/>
      <c r="C4" s="7"/>
      <c r="D4" s="7"/>
    </row>
    <row r="5" customFormat="false" ht="15" hidden="false" customHeight="false" outlineLevel="0" collapsed="false">
      <c r="A5" s="3" t="s">
        <v>368</v>
      </c>
      <c r="B5" s="8" t="n">
        <v>350000</v>
      </c>
      <c r="C5" s="3" t="s">
        <v>60</v>
      </c>
      <c r="D5" s="16" t="s">
        <v>369</v>
      </c>
    </row>
    <row r="6" customFormat="false" ht="15" hidden="false" customHeight="false" outlineLevel="0" collapsed="false">
      <c r="A6" s="3" t="s">
        <v>370</v>
      </c>
      <c r="B6" s="8" t="n">
        <v>150000</v>
      </c>
      <c r="C6" s="3" t="s">
        <v>60</v>
      </c>
      <c r="D6" s="16" t="s">
        <v>371</v>
      </c>
    </row>
    <row r="7" customFormat="false" ht="15" hidden="false" customHeight="false" outlineLevel="0" collapsed="false">
      <c r="A7" s="3" t="s">
        <v>249</v>
      </c>
      <c r="B7" s="8" t="n">
        <v>50</v>
      </c>
      <c r="C7" s="3" t="s">
        <v>63</v>
      </c>
      <c r="D7" s="16" t="s">
        <v>372</v>
      </c>
    </row>
    <row r="8" customFormat="false" ht="15" hidden="false" customHeight="false" outlineLevel="0" collapsed="false">
      <c r="A8" s="3" t="s">
        <v>373</v>
      </c>
      <c r="B8" s="8" t="n">
        <v>40</v>
      </c>
      <c r="C8" s="3" t="s">
        <v>50</v>
      </c>
      <c r="D8" s="16" t="s">
        <v>374</v>
      </c>
    </row>
    <row r="9" customFormat="false" ht="15" hidden="false" customHeight="false" outlineLevel="0" collapsed="false">
      <c r="A9" s="3" t="s">
        <v>375</v>
      </c>
      <c r="B9" s="8" t="n">
        <v>30</v>
      </c>
      <c r="C9" s="3" t="s">
        <v>44</v>
      </c>
      <c r="D9" s="16" t="s">
        <v>376</v>
      </c>
    </row>
    <row r="10" customFormat="false" ht="15" hidden="false" customHeight="false" outlineLevel="0" collapsed="false">
      <c r="A10" s="3" t="s">
        <v>377</v>
      </c>
      <c r="B10" s="10" t="n">
        <v>0.01</v>
      </c>
      <c r="C10" s="3" t="s">
        <v>47</v>
      </c>
      <c r="D10" s="16" t="s">
        <v>378</v>
      </c>
    </row>
    <row r="11" customFormat="false" ht="15" hidden="false" customHeight="false" outlineLevel="0" collapsed="false">
      <c r="A11" s="3" t="s">
        <v>379</v>
      </c>
      <c r="B11" s="8" t="n">
        <v>0</v>
      </c>
      <c r="C11" s="3" t="s">
        <v>89</v>
      </c>
      <c r="D11" s="16" t="s">
        <v>380</v>
      </c>
    </row>
    <row r="12" customFormat="false" ht="15" hidden="false" customHeight="false" outlineLevel="0" collapsed="false">
      <c r="A12" s="6" t="s">
        <v>381</v>
      </c>
      <c r="B12" s="7"/>
      <c r="C12" s="7"/>
      <c r="D12" s="7"/>
    </row>
    <row r="13" customFormat="false" ht="15" hidden="false" customHeight="false" outlineLevel="0" collapsed="false">
      <c r="A13" s="3" t="s">
        <v>250</v>
      </c>
      <c r="B13" s="24" t="n">
        <f aca="false">Безубыток!$B$30</f>
        <v>41.4352</v>
      </c>
      <c r="C13" s="3" t="s">
        <v>63</v>
      </c>
      <c r="D13" s="16"/>
    </row>
    <row r="14" customFormat="false" ht="15" hidden="false" customHeight="false" outlineLevel="0" collapsed="false">
      <c r="A14" s="3" t="s">
        <v>382</v>
      </c>
      <c r="B14" s="24" t="n">
        <f aca="false">$B$7-$B$13</f>
        <v>8.56480000000001</v>
      </c>
      <c r="C14" s="3" t="s">
        <v>63</v>
      </c>
      <c r="D14" s="16" t="s">
        <v>383</v>
      </c>
    </row>
    <row r="15" customFormat="false" ht="15" hidden="false" customHeight="false" outlineLevel="0" collapsed="false">
      <c r="A15" s="3" t="s">
        <v>384</v>
      </c>
      <c r="B15" s="17" t="n">
        <f aca="false">$B$14*$B$8</f>
        <v>342.592</v>
      </c>
      <c r="C15" s="3" t="s">
        <v>60</v>
      </c>
      <c r="D15" s="16" t="s">
        <v>385</v>
      </c>
    </row>
    <row r="16" customFormat="false" ht="15" hidden="false" customHeight="false" outlineLevel="0" collapsed="false">
      <c r="A16" s="19" t="s">
        <v>386</v>
      </c>
      <c r="B16" s="32" t="n">
        <f aca="false">$B$7*(1-Допущения!$B$22-Допущения!$B$17*Допущения!$B$18)-$B$13/(1-$B$10)</f>
        <v>5.39626262626263</v>
      </c>
      <c r="C16" s="3" t="s">
        <v>63</v>
      </c>
      <c r="D16" s="16" t="s">
        <v>387</v>
      </c>
    </row>
    <row r="17" customFormat="false" ht="15" hidden="false" customHeight="false" outlineLevel="0" collapsed="false">
      <c r="A17" s="19" t="s">
        <v>388</v>
      </c>
      <c r="B17" s="20" t="n">
        <f aca="false">$B$16*$B$8</f>
        <v>215.850505050505</v>
      </c>
      <c r="C17" s="3" t="s">
        <v>60</v>
      </c>
      <c r="D17" s="16"/>
    </row>
    <row r="18" customFormat="false" ht="15" hidden="false" customHeight="false" outlineLevel="0" collapsed="false">
      <c r="A18" s="19" t="s">
        <v>389</v>
      </c>
      <c r="B18" s="20" t="n">
        <f aca="false">$B$5+$B$6</f>
        <v>500000</v>
      </c>
      <c r="C18" s="3" t="s">
        <v>60</v>
      </c>
      <c r="D18" s="16"/>
    </row>
    <row r="19" customFormat="false" ht="15" hidden="false" customHeight="false" outlineLevel="0" collapsed="false">
      <c r="A19" s="3" t="s">
        <v>390</v>
      </c>
      <c r="B19" s="17" t="n">
        <f aca="false">IF($B$15&lt;=0,"никогда",ROUNDUP($B$18/$B$15,0))</f>
        <v>1460</v>
      </c>
      <c r="C19" s="3" t="s">
        <v>44</v>
      </c>
      <c r="D19" s="16" t="s">
        <v>391</v>
      </c>
    </row>
    <row r="20" customFormat="false" ht="15" hidden="false" customHeight="false" outlineLevel="0" collapsed="false">
      <c r="A20" s="19" t="s">
        <v>392</v>
      </c>
      <c r="B20" s="27" t="n">
        <f aca="false">IF($B$15*$B$9-$B$11&lt;=0,"не окупается",$B$18/($B$15*$B$9-$B$11)/12)</f>
        <v>4.05406106648401</v>
      </c>
      <c r="C20" s="3" t="s">
        <v>112</v>
      </c>
      <c r="D20" s="16" t="s">
        <v>393</v>
      </c>
    </row>
    <row r="21" customFormat="false" ht="15" hidden="false" customHeight="false" outlineLevel="0" collapsed="false">
      <c r="A21" s="19" t="s">
        <v>394</v>
      </c>
      <c r="B21" s="31" t="n">
        <f aca="false">IF($B$17*$B$9-$B$11&lt;=0,"не окупается",$B$18/($B$17*$B$9-$B$11)/12)</f>
        <v>6.43449450611159</v>
      </c>
      <c r="C21" s="3" t="s">
        <v>112</v>
      </c>
      <c r="D21" s="16" t="s">
        <v>395</v>
      </c>
    </row>
    <row r="23" customFormat="false" ht="15" hidden="false" customHeight="false" outlineLevel="0" collapsed="false">
      <c r="A23" s="16" t="s">
        <v>396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60"/>
  </cols>
  <sheetData>
    <row r="1" customFormat="false" ht="17.35" hidden="false" customHeight="false" outlineLevel="0" collapsed="false">
      <c r="A1" s="1" t="s">
        <v>397</v>
      </c>
    </row>
    <row r="2" customFormat="false" ht="15" hidden="false" customHeight="false" outlineLevel="0" collapsed="false">
      <c r="A2" s="2" t="s">
        <v>398</v>
      </c>
    </row>
    <row r="3" customFormat="false" ht="15" hidden="false" customHeight="false" outlineLevel="0" collapsed="false">
      <c r="A3" s="5" t="s">
        <v>35</v>
      </c>
      <c r="B3" s="5" t="s">
        <v>399</v>
      </c>
      <c r="C3" s="5" t="s">
        <v>400</v>
      </c>
      <c r="D3" s="5" t="s">
        <v>284</v>
      </c>
    </row>
    <row r="4" customFormat="false" ht="15" hidden="false" customHeight="false" outlineLevel="0" collapsed="false">
      <c r="A4" s="6" t="s">
        <v>169</v>
      </c>
      <c r="B4" s="7"/>
      <c r="C4" s="7"/>
      <c r="D4" s="7"/>
    </row>
    <row r="5" customFormat="false" ht="15" hidden="false" customHeight="false" outlineLevel="0" collapsed="false">
      <c r="A5" s="3" t="s">
        <v>172</v>
      </c>
      <c r="B5" s="17" t="n">
        <f aca="false">Модель!N6</f>
        <v>150336</v>
      </c>
      <c r="C5" s="17" t="n">
        <f aca="false">B5/12</f>
        <v>12528</v>
      </c>
      <c r="D5" s="16"/>
    </row>
    <row r="6" customFormat="false" ht="15" hidden="false" customHeight="false" outlineLevel="0" collapsed="false">
      <c r="A6" s="3" t="s">
        <v>401</v>
      </c>
      <c r="B6" s="17" t="n">
        <f aca="false">Модель!N8</f>
        <v>20.9166666666667</v>
      </c>
      <c r="C6" s="17" t="n">
        <f aca="false">B6</f>
        <v>20.9166666666667</v>
      </c>
      <c r="D6" s="16"/>
    </row>
    <row r="7" customFormat="false" ht="15" hidden="false" customHeight="false" outlineLevel="0" collapsed="false">
      <c r="A7" s="19" t="s">
        <v>272</v>
      </c>
      <c r="B7" s="18" t="n">
        <f aca="false">Модель!N11</f>
        <v>12026880</v>
      </c>
      <c r="C7" s="17" t="n">
        <f aca="false">B7/12</f>
        <v>1002240</v>
      </c>
      <c r="D7" s="16"/>
    </row>
    <row r="8" customFormat="false" ht="15" hidden="false" customHeight="false" outlineLevel="0" collapsed="false">
      <c r="A8" s="6" t="s">
        <v>402</v>
      </c>
      <c r="B8" s="7"/>
      <c r="C8" s="7"/>
      <c r="D8" s="7"/>
    </row>
    <row r="9" customFormat="false" ht="15" hidden="false" customHeight="false" outlineLevel="0" collapsed="false">
      <c r="A9" s="3" t="s">
        <v>184</v>
      </c>
      <c r="B9" s="17" t="n">
        <f aca="false">Модель!N13</f>
        <v>6557037.5296</v>
      </c>
      <c r="C9" s="17" t="n">
        <f aca="false">B9/12</f>
        <v>546419.794133333</v>
      </c>
      <c r="D9" s="16" t="s">
        <v>403</v>
      </c>
    </row>
    <row r="10" customFormat="false" ht="15" hidden="false" customHeight="false" outlineLevel="0" collapsed="false">
      <c r="A10" s="3" t="s">
        <v>186</v>
      </c>
      <c r="B10" s="17" t="n">
        <f aca="false">Модель!N14</f>
        <v>180403.2</v>
      </c>
      <c r="C10" s="17" t="n">
        <f aca="false">B10/12</f>
        <v>15033.6</v>
      </c>
      <c r="D10" s="16"/>
    </row>
    <row r="11" customFormat="false" ht="15" hidden="false" customHeight="false" outlineLevel="0" collapsed="false">
      <c r="A11" s="3" t="s">
        <v>404</v>
      </c>
      <c r="B11" s="17" t="n">
        <f aca="false">Модель!N23-Модель!N22</f>
        <v>3840000</v>
      </c>
      <c r="C11" s="17" t="n">
        <f aca="false">B11/12</f>
        <v>320000</v>
      </c>
      <c r="D11" s="16"/>
    </row>
    <row r="12" customFormat="false" ht="15" hidden="false" customHeight="false" outlineLevel="0" collapsed="false">
      <c r="A12" s="3" t="s">
        <v>198</v>
      </c>
      <c r="B12" s="17" t="n">
        <f aca="false">Модель!N22</f>
        <v>3250000</v>
      </c>
      <c r="C12" s="17" t="n">
        <f aca="false">B12/12</f>
        <v>270833.333333333</v>
      </c>
      <c r="D12" s="16"/>
    </row>
    <row r="13" customFormat="false" ht="15" hidden="false" customHeight="false" outlineLevel="0" collapsed="false">
      <c r="A13" s="3" t="s">
        <v>274</v>
      </c>
      <c r="B13" s="17" t="n">
        <f aca="false">Модель!N25+Модель!N28+Модель!N30</f>
        <v>481075.2</v>
      </c>
      <c r="C13" s="17" t="n">
        <f aca="false">B13/12</f>
        <v>40089.6</v>
      </c>
      <c r="D13" s="16" t="s">
        <v>405</v>
      </c>
    </row>
    <row r="14" customFormat="false" ht="15" hidden="false" customHeight="false" outlineLevel="0" collapsed="false">
      <c r="A14" s="6" t="s">
        <v>406</v>
      </c>
      <c r="B14" s="7"/>
      <c r="C14" s="7"/>
      <c r="D14" s="7"/>
    </row>
    <row r="15" customFormat="false" ht="15" hidden="false" customHeight="false" outlineLevel="0" collapsed="false">
      <c r="A15" s="19" t="s">
        <v>407</v>
      </c>
      <c r="B15" s="18" t="n">
        <f aca="false">Модель!N32</f>
        <v>-2281635.9296</v>
      </c>
      <c r="C15" s="17" t="n">
        <f aca="false">B15/12</f>
        <v>-190136.327466667</v>
      </c>
      <c r="D15" s="16" t="s">
        <v>408</v>
      </c>
    </row>
    <row r="16" customFormat="false" ht="15" hidden="false" customHeight="false" outlineLevel="0" collapsed="false">
      <c r="A16" s="3" t="s">
        <v>218</v>
      </c>
      <c r="B16" s="21" t="n">
        <f aca="false">IF(B7=0,0,B15/B7)</f>
        <v>-0.189711373988931</v>
      </c>
      <c r="C16" s="21" t="n">
        <f aca="false">B16</f>
        <v>-0.189711373988931</v>
      </c>
      <c r="D16" s="16"/>
    </row>
    <row r="17" customFormat="false" ht="15" hidden="false" customHeight="false" outlineLevel="0" collapsed="false">
      <c r="A17" s="19" t="s">
        <v>220</v>
      </c>
      <c r="B17" s="18" t="n">
        <f aca="false">Модель!N34</f>
        <v>968364.070400002</v>
      </c>
      <c r="C17" s="17" t="n">
        <f aca="false">B17/12</f>
        <v>80697.0058666668</v>
      </c>
      <c r="D17" s="16" t="s">
        <v>409</v>
      </c>
    </row>
    <row r="18" customFormat="false" ht="15" hidden="false" customHeight="false" outlineLevel="0" collapsed="false">
      <c r="A18" s="6" t="s">
        <v>410</v>
      </c>
      <c r="B18" s="7"/>
      <c r="C18" s="7"/>
      <c r="D18" s="7"/>
    </row>
    <row r="19" customFormat="false" ht="15" hidden="false" customHeight="false" outlineLevel="0" collapsed="false">
      <c r="A19" s="3" t="s">
        <v>411</v>
      </c>
      <c r="B19" s="17" t="n">
        <f aca="false">Безубыток!B11</f>
        <v>26000000</v>
      </c>
      <c r="D19" s="16"/>
    </row>
    <row r="20" customFormat="false" ht="15" hidden="false" customHeight="false" outlineLevel="0" collapsed="false">
      <c r="A20" s="3" t="s">
        <v>412</v>
      </c>
      <c r="B20" s="17" t="n">
        <f aca="false">Безубыток!B16</f>
        <v>28120000</v>
      </c>
      <c r="D20" s="16" t="s">
        <v>413</v>
      </c>
    </row>
    <row r="21" customFormat="false" ht="15" hidden="false" customHeight="false" outlineLevel="0" collapsed="false">
      <c r="A21" s="19" t="s">
        <v>414</v>
      </c>
      <c r="B21" s="31" t="n">
        <f aca="false">IF(C17&lt;=0,"не окупается",B19/C17/12)</f>
        <v>26.8494059153395</v>
      </c>
      <c r="D21" s="16" t="s">
        <v>415</v>
      </c>
    </row>
    <row r="22" customFormat="false" ht="15" hidden="false" customHeight="false" outlineLevel="0" collapsed="false">
      <c r="A22" s="19" t="s">
        <v>416</v>
      </c>
      <c r="B22" s="31" t="n">
        <f aca="false">IF(C17&lt;=0,"не окупается",B20/C17/12)</f>
        <v>29.0386651668979</v>
      </c>
      <c r="D22" s="16"/>
    </row>
    <row r="23" customFormat="false" ht="15" hidden="false" customHeight="false" outlineLevel="0" collapsed="false">
      <c r="A23" s="3" t="s">
        <v>417</v>
      </c>
      <c r="B23" s="17" t="n">
        <f aca="false">Модель!M35</f>
        <v>-25031635.9296</v>
      </c>
      <c r="D23" s="16" t="s">
        <v>418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13" min="2" style="0" width="10"/>
  </cols>
  <sheetData>
    <row r="1" customFormat="false" ht="17.35" hidden="false" customHeight="false" outlineLevel="0" collapsed="false">
      <c r="A1" s="1" t="s">
        <v>419</v>
      </c>
    </row>
    <row r="2" customFormat="false" ht="15" hidden="false" customHeight="false" outlineLevel="0" collapsed="false">
      <c r="A2" s="2" t="s">
        <v>420</v>
      </c>
    </row>
    <row r="4" customFormat="false" ht="15" hidden="false" customHeight="false" outlineLevel="0" collapsed="false">
      <c r="A4" s="5" t="s">
        <v>35</v>
      </c>
      <c r="B4" s="5" t="s">
        <v>155</v>
      </c>
      <c r="C4" s="5" t="s">
        <v>156</v>
      </c>
      <c r="D4" s="5" t="s">
        <v>157</v>
      </c>
      <c r="E4" s="5" t="s">
        <v>158</v>
      </c>
      <c r="F4" s="5" t="s">
        <v>159</v>
      </c>
      <c r="G4" s="5" t="s">
        <v>160</v>
      </c>
      <c r="H4" s="5" t="s">
        <v>161</v>
      </c>
      <c r="I4" s="5" t="s">
        <v>162</v>
      </c>
      <c r="J4" s="5" t="s">
        <v>163</v>
      </c>
      <c r="K4" s="5" t="s">
        <v>164</v>
      </c>
      <c r="L4" s="5" t="s">
        <v>165</v>
      </c>
      <c r="M4" s="5" t="s">
        <v>166</v>
      </c>
    </row>
    <row r="5" customFormat="false" ht="15" hidden="false" customHeight="false" outlineLevel="0" collapsed="false">
      <c r="A5" s="3" t="s">
        <v>421</v>
      </c>
      <c r="B5" s="17" t="n">
        <f aca="false">Модель!B8</f>
        <v>16</v>
      </c>
      <c r="C5" s="17" t="n">
        <f aca="false">Модель!C8</f>
        <v>17</v>
      </c>
      <c r="D5" s="17" t="n">
        <f aca="false">Модель!D8</f>
        <v>19</v>
      </c>
      <c r="E5" s="17" t="n">
        <f aca="false">Модель!E8</f>
        <v>22</v>
      </c>
      <c r="F5" s="17" t="n">
        <f aca="false">Модель!F8</f>
        <v>23</v>
      </c>
      <c r="G5" s="17" t="n">
        <f aca="false">Модель!G8</f>
        <v>24</v>
      </c>
      <c r="H5" s="17" t="n">
        <f aca="false">Модель!H8</f>
        <v>25</v>
      </c>
      <c r="I5" s="17" t="n">
        <f aca="false">Модель!I8</f>
        <v>24</v>
      </c>
      <c r="J5" s="17" t="n">
        <f aca="false">Модель!J8</f>
        <v>23</v>
      </c>
      <c r="K5" s="17" t="n">
        <f aca="false">Модель!K8</f>
        <v>22</v>
      </c>
      <c r="L5" s="17" t="n">
        <f aca="false">Модель!L8</f>
        <v>19</v>
      </c>
      <c r="M5" s="17" t="n">
        <f aca="false">Модель!M8</f>
        <v>17</v>
      </c>
    </row>
    <row r="6" customFormat="false" ht="15" hidden="false" customHeight="false" outlineLevel="0" collapsed="false">
      <c r="A6" s="3" t="s">
        <v>422</v>
      </c>
      <c r="B6" s="21" t="n">
        <f aca="false">IF(Безубыток!$B$37=0,0,Модель!B6/Безубыток!$B$37)</f>
        <v>0.1125</v>
      </c>
      <c r="C6" s="21" t="n">
        <f aca="false">IF(Безубыток!$B$37=0,0,Модель!C6/Безубыток!$B$37)</f>
        <v>0.12</v>
      </c>
      <c r="D6" s="21" t="n">
        <f aca="false">IF(Безубыток!$B$37=0,0,Модель!D6/Безубыток!$B$37)</f>
        <v>0.135</v>
      </c>
      <c r="E6" s="21" t="n">
        <f aca="false">IF(Безубыток!$B$37=0,0,Модель!E6/Безубыток!$B$37)</f>
        <v>0.15</v>
      </c>
      <c r="F6" s="21" t="n">
        <f aca="false">IF(Безубыток!$B$37=0,0,Модель!F6/Безубыток!$B$37)</f>
        <v>0.1575</v>
      </c>
      <c r="G6" s="21" t="n">
        <f aca="false">IF(Безубыток!$B$37=0,0,Модель!G6/Безубыток!$B$37)</f>
        <v>0.165</v>
      </c>
      <c r="H6" s="21" t="n">
        <f aca="false">IF(Безубыток!$B$37=0,0,Модель!H6/Безубыток!$B$37)</f>
        <v>0.1725</v>
      </c>
      <c r="I6" s="21" t="n">
        <f aca="false">IF(Безубыток!$B$37=0,0,Модель!I6/Безубыток!$B$37)</f>
        <v>0.165</v>
      </c>
      <c r="J6" s="21" t="n">
        <f aca="false">IF(Безубыток!$B$37=0,0,Модель!J6/Безубыток!$B$37)</f>
        <v>0.1575</v>
      </c>
      <c r="K6" s="21" t="n">
        <f aca="false">IF(Безубыток!$B$37=0,0,Модель!K6/Безубыток!$B$37)</f>
        <v>0.15</v>
      </c>
      <c r="L6" s="21" t="n">
        <f aca="false">IF(Безубыток!$B$37=0,0,Модель!L6/Безубыток!$B$37)</f>
        <v>0.135</v>
      </c>
      <c r="M6" s="21" t="n">
        <f aca="false">IF(Безубыток!$B$37=0,0,Модель!M6/Безубыток!$B$37)</f>
        <v>0.12</v>
      </c>
    </row>
    <row r="7" customFormat="false" ht="15" hidden="false" customHeight="false" outlineLevel="0" collapsed="false">
      <c r="A7" s="3" t="s">
        <v>423</v>
      </c>
      <c r="B7" s="17" t="n">
        <f aca="false">Модель!B11/1000</f>
        <v>777.6</v>
      </c>
      <c r="C7" s="17" t="n">
        <f aca="false">Модель!C11/1000</f>
        <v>829.44</v>
      </c>
      <c r="D7" s="17" t="n">
        <f aca="false">Модель!D11/1000</f>
        <v>933.12</v>
      </c>
      <c r="E7" s="17" t="n">
        <f aca="false">Модель!E11/1000</f>
        <v>1036.8</v>
      </c>
      <c r="F7" s="17" t="n">
        <f aca="false">Модель!F11/1000</f>
        <v>1088.64</v>
      </c>
      <c r="G7" s="17" t="n">
        <f aca="false">Модель!G11/1000</f>
        <v>1140.48</v>
      </c>
      <c r="H7" s="17" t="n">
        <f aca="false">Модель!H11/1000</f>
        <v>1192.32</v>
      </c>
      <c r="I7" s="17" t="n">
        <f aca="false">Модель!I11/1000</f>
        <v>1140.48</v>
      </c>
      <c r="J7" s="17" t="n">
        <f aca="false">Модель!J11/1000</f>
        <v>1088.64</v>
      </c>
      <c r="K7" s="17" t="n">
        <f aca="false">Модель!K11/1000</f>
        <v>1036.8</v>
      </c>
      <c r="L7" s="17" t="n">
        <f aca="false">Модель!L11/1000</f>
        <v>933.12</v>
      </c>
      <c r="M7" s="17" t="n">
        <f aca="false">Модель!M11/1000</f>
        <v>829.44</v>
      </c>
    </row>
    <row r="8" customFormat="false" ht="15" hidden="false" customHeight="false" outlineLevel="0" collapsed="false">
      <c r="A8" s="3" t="s">
        <v>424</v>
      </c>
      <c r="B8" s="17" t="n">
        <f aca="false">Модель!B13/1000</f>
        <v>423.9649664</v>
      </c>
      <c r="C8" s="17" t="n">
        <f aca="false">Модель!C13/1000</f>
        <v>452.2237728</v>
      </c>
      <c r="D8" s="17" t="n">
        <f aca="false">Модель!D13/1000</f>
        <v>508.7413856</v>
      </c>
      <c r="E8" s="17" t="n">
        <f aca="false">Модель!E13/1000</f>
        <v>565.2589984</v>
      </c>
      <c r="F8" s="17" t="n">
        <f aca="false">Модель!F13/1000</f>
        <v>593.5178048</v>
      </c>
      <c r="G8" s="17" t="n">
        <f aca="false">Модель!G13/1000</f>
        <v>621.7766112</v>
      </c>
      <c r="H8" s="17" t="n">
        <f aca="false">Модель!H13/1000</f>
        <v>650.0354176</v>
      </c>
      <c r="I8" s="17" t="n">
        <f aca="false">Модель!I13/1000</f>
        <v>621.7766112</v>
      </c>
      <c r="J8" s="17" t="n">
        <f aca="false">Модель!J13/1000</f>
        <v>593.5178048</v>
      </c>
      <c r="K8" s="17" t="n">
        <f aca="false">Модель!K13/1000</f>
        <v>565.2589984</v>
      </c>
      <c r="L8" s="17" t="n">
        <f aca="false">Модель!L13/1000</f>
        <v>508.7413856</v>
      </c>
      <c r="M8" s="17" t="n">
        <f aca="false">Модель!M13/1000</f>
        <v>452.2237728</v>
      </c>
    </row>
    <row r="9" customFormat="false" ht="15" hidden="false" customHeight="false" outlineLevel="0" collapsed="false">
      <c r="A9" s="3" t="s">
        <v>425</v>
      </c>
      <c r="B9" s="17" t="n">
        <f aca="false">Модель!B23/1000</f>
        <v>590.833333333333</v>
      </c>
      <c r="C9" s="17" t="n">
        <f aca="false">Модель!C23/1000</f>
        <v>590.833333333333</v>
      </c>
      <c r="D9" s="17" t="n">
        <f aca="false">Модель!D23/1000</f>
        <v>590.833333333333</v>
      </c>
      <c r="E9" s="17" t="n">
        <f aca="false">Модель!E23/1000</f>
        <v>590.833333333333</v>
      </c>
      <c r="F9" s="17" t="n">
        <f aca="false">Модель!F23/1000</f>
        <v>590.833333333333</v>
      </c>
      <c r="G9" s="17" t="n">
        <f aca="false">Модель!G23/1000</f>
        <v>590.833333333333</v>
      </c>
      <c r="H9" s="17" t="n">
        <f aca="false">Модель!H23/1000</f>
        <v>590.833333333333</v>
      </c>
      <c r="I9" s="17" t="n">
        <f aca="false">Модель!I23/1000</f>
        <v>590.833333333333</v>
      </c>
      <c r="J9" s="17" t="n">
        <f aca="false">Модель!J23/1000</f>
        <v>590.833333333333</v>
      </c>
      <c r="K9" s="17" t="n">
        <f aca="false">Модель!K23/1000</f>
        <v>590.833333333333</v>
      </c>
      <c r="L9" s="17" t="n">
        <f aca="false">Модель!L23/1000</f>
        <v>590.833333333333</v>
      </c>
      <c r="M9" s="17" t="n">
        <f aca="false">Модель!M23/1000</f>
        <v>590.833333333333</v>
      </c>
    </row>
    <row r="10" customFormat="false" ht="15" hidden="false" customHeight="false" outlineLevel="0" collapsed="false">
      <c r="A10" s="3" t="s">
        <v>426</v>
      </c>
      <c r="B10" s="17" t="n">
        <f aca="false">(Модель!B25+Модель!B28+Модель!B30)/1000</f>
        <v>31.104</v>
      </c>
      <c r="C10" s="17" t="n">
        <f aca="false">(Модель!C25+Модель!C28+Модель!C30)/1000</f>
        <v>33.1776</v>
      </c>
      <c r="D10" s="17" t="n">
        <f aca="false">(Модель!D25+Модель!D28+Модель!D30)/1000</f>
        <v>37.3248</v>
      </c>
      <c r="E10" s="17" t="n">
        <f aca="false">(Модель!E25+Модель!E28+Модель!E30)/1000</f>
        <v>41.472</v>
      </c>
      <c r="F10" s="17" t="n">
        <f aca="false">(Модель!F25+Модель!F28+Модель!F30)/1000</f>
        <v>43.5456</v>
      </c>
      <c r="G10" s="17" t="n">
        <f aca="false">(Модель!G25+Модель!G28+Модель!G30)/1000</f>
        <v>45.6192</v>
      </c>
      <c r="H10" s="17" t="n">
        <f aca="false">(Модель!H25+Модель!H28+Модель!H30)/1000</f>
        <v>47.6928</v>
      </c>
      <c r="I10" s="17" t="n">
        <f aca="false">(Модель!I25+Модель!I28+Модель!I30)/1000</f>
        <v>45.6192</v>
      </c>
      <c r="J10" s="17" t="n">
        <f aca="false">(Модель!J25+Модель!J28+Модель!J30)/1000</f>
        <v>43.5456</v>
      </c>
      <c r="K10" s="17" t="n">
        <f aca="false">(Модель!K25+Модель!K28+Модель!K30)/1000</f>
        <v>41.472</v>
      </c>
      <c r="L10" s="17" t="n">
        <f aca="false">(Модель!L25+Модель!L28+Модель!L30)/1000</f>
        <v>37.3248</v>
      </c>
      <c r="M10" s="17" t="n">
        <f aca="false">(Модель!M25+Модель!M28+Модель!M30)/1000</f>
        <v>33.1776</v>
      </c>
    </row>
    <row r="11" customFormat="false" ht="15" hidden="false" customHeight="false" outlineLevel="0" collapsed="false">
      <c r="A11" s="19" t="s">
        <v>427</v>
      </c>
      <c r="B11" s="18" t="n">
        <f aca="false">Модель!B34/1000</f>
        <v>-9.13296639999986</v>
      </c>
      <c r="C11" s="18" t="n">
        <f aca="false">Модель!C34/1000</f>
        <v>11.5970272000002</v>
      </c>
      <c r="D11" s="18" t="n">
        <f aca="false">Модель!D34/1000</f>
        <v>53.0570144000002</v>
      </c>
      <c r="E11" s="18" t="n">
        <f aca="false">Модель!E34/1000</f>
        <v>94.5170016000001</v>
      </c>
      <c r="F11" s="18" t="n">
        <f aca="false">Модель!F34/1000</f>
        <v>115.2469952</v>
      </c>
      <c r="G11" s="18" t="n">
        <f aca="false">Модель!G34/1000</f>
        <v>135.9769888</v>
      </c>
      <c r="H11" s="18" t="n">
        <f aca="false">Модель!H34/1000</f>
        <v>156.7069824</v>
      </c>
      <c r="I11" s="18" t="n">
        <f aca="false">Модель!I34/1000</f>
        <v>135.9769888</v>
      </c>
      <c r="J11" s="18" t="n">
        <f aca="false">Модель!J34/1000</f>
        <v>115.2469952</v>
      </c>
      <c r="K11" s="18" t="n">
        <f aca="false">Модель!K34/1000</f>
        <v>94.5170016000001</v>
      </c>
      <c r="L11" s="18" t="n">
        <f aca="false">Модель!L34/1000</f>
        <v>53.0570144000002</v>
      </c>
      <c r="M11" s="18" t="n">
        <f aca="false">Модель!M34/1000</f>
        <v>11.5970272000002</v>
      </c>
    </row>
    <row r="12" customFormat="false" ht="15" hidden="false" customHeight="false" outlineLevel="0" collapsed="false">
      <c r="A12" s="19" t="s">
        <v>428</v>
      </c>
      <c r="B12" s="18" t="n">
        <f aca="false">Модель!B35/1000</f>
        <v>-26009.1329664</v>
      </c>
      <c r="C12" s="18" t="n">
        <f aca="false">Модель!C35/1000</f>
        <v>-25997.5359392</v>
      </c>
      <c r="D12" s="18" t="n">
        <f aca="false">Модель!D35/1000</f>
        <v>-25944.4789248</v>
      </c>
      <c r="E12" s="18" t="n">
        <f aca="false">Модель!E35/1000</f>
        <v>-25849.9619232</v>
      </c>
      <c r="F12" s="18" t="n">
        <f aca="false">Модель!F35/1000</f>
        <v>-25734.714928</v>
      </c>
      <c r="G12" s="18" t="n">
        <f aca="false">Модель!G35/1000</f>
        <v>-25598.7379392</v>
      </c>
      <c r="H12" s="18" t="n">
        <f aca="false">Модель!H35/1000</f>
        <v>-25442.0309568</v>
      </c>
      <c r="I12" s="18" t="n">
        <f aca="false">Модель!I35/1000</f>
        <v>-25306.053968</v>
      </c>
      <c r="J12" s="18" t="n">
        <f aca="false">Модель!J35/1000</f>
        <v>-25190.8069728</v>
      </c>
      <c r="K12" s="18" t="n">
        <f aca="false">Модель!K35/1000</f>
        <v>-25096.2899712</v>
      </c>
      <c r="L12" s="18" t="n">
        <f aca="false">Модель!L35/1000</f>
        <v>-25043.2329568</v>
      </c>
      <c r="M12" s="18" t="n">
        <f aca="false">Модель!M35/1000</f>
        <v>-25031.6359296</v>
      </c>
    </row>
    <row r="15" customFormat="false" ht="15" hidden="false" customHeight="false" outlineLevel="0" collapsed="false">
      <c r="A15" s="19" t="s">
        <v>429</v>
      </c>
    </row>
    <row r="16" customFormat="false" ht="15" hidden="false" customHeight="false" outlineLevel="0" collapsed="false">
      <c r="A16" s="16" t="s">
        <v>430</v>
      </c>
    </row>
    <row r="17" customFormat="false" ht="15" hidden="false" customHeight="false" outlineLevel="0" collapsed="false">
      <c r="A17" s="16" t="s">
        <v>431</v>
      </c>
    </row>
    <row r="18" customFormat="false" ht="15" hidden="false" customHeight="false" outlineLevel="0" collapsed="false">
      <c r="A18" s="16" t="s">
        <v>432</v>
      </c>
    </row>
    <row r="19" customFormat="false" ht="15" hidden="false" customHeight="false" outlineLevel="0" collapsed="false">
      <c r="A19" s="16" t="s">
        <v>433</v>
      </c>
    </row>
  </sheetData>
  <conditionalFormatting sqref="B11:M12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2026-09-27T13:38:25Z</dcterms:created>
  <dc:creator>openpyxl</dc:creator>
  <dc:description/>
  <dc:language>en-US</dc:language>
  <cp:lastModifiedBy/>
  <dcterms:modified xsi:type="dcterms:W3CDTF">2026-09-27T13:38:25Z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