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Комментарии" sheetId="1" state="visible" r:id="rId3"/>
    <sheet name="Допущения" sheetId="2" state="visible" r:id="rId4"/>
    <sheet name="Модель" sheetId="3" state="visible" r:id="rId5"/>
    <sheet name="Безубыток" sheetId="4" state="visible" r:id="rId6"/>
    <sheet name="Год" sheetId="5" state="visible" r:id="rId7"/>
    <sheet name="Дашборд" sheetId="6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<sst xmlns="http://schemas.openxmlformats.org/spreadsheetml/2006/main" count="407" uniqueCount="336">
  <si>
    <t xml:space="preserve">КАК ЧИТАТЬ ЭТУ МОДЕЛЬ</t>
  </si>
  <si>
    <t xml:space="preserve">Inside Numbers · разбор экономики кофейни</t>
  </si>
  <si>
    <t xml:space="preserve">ПОРЯДОК РАБОТЫ</t>
  </si>
  <si>
    <t xml:space="preserve">1. Откройте лист «Допущения» и замените жёлтые ячейки своими цифрами.</t>
  </si>
  <si>
    <t xml:space="preserve">2. Все остальные листы пересчитаются сами.</t>
  </si>
  <si>
    <t xml:space="preserve">3. Результат смотрите на листе «Безубыток» — там окупаемость и точка безубыточности.</t>
  </si>
  <si>
    <t xml:space="preserve">4. Лист «Дашборд» — то, что стоит проверять каждый месяц, когда кофейня уже работает.</t>
  </si>
  <si>
    <t xml:space="preserve">ОБОЗНАЧЕНИЯ</t>
  </si>
  <si>
    <t xml:space="preserve">Жёлтая заливка и синий шрифт — ячейки, которые нужно заполнить своими данными.</t>
  </si>
  <si>
    <t xml:space="preserve">Чёрный шрифт — расчётная ячейка с формулой. Не трогайте.</t>
  </si>
  <si>
    <t xml:space="preserve">Колонка «Комментарий / источник» на листе «Допущения» объясняет каждую цифру.</t>
  </si>
  <si>
    <t xml:space="preserve">Колонка «Как считается» на листе «Модель» объясняет каждую формулу.</t>
  </si>
  <si>
    <t xml:space="preserve">ЧТО ВАЖНО ПОНИМАТЬ ПРО ЭТУ МОДЕЛЬ</t>
  </si>
  <si>
    <t xml:space="preserve">Наценка и маржа — разные вещи. Наценка на чашке около 250%, а чистая маржа бизнеса</t>
  </si>
  <si>
    <t xml:space="preserve">около 15%. Разницу съедают постоянные расходы и налоги.</t>
  </si>
  <si>
    <t xml:space="preserve">Операционный рычаг работает в обе стороны. Постоянные расходы не знают, что у вас</t>
  </si>
  <si>
    <t xml:space="preserve">плохой месяц. Падение выручки на треть может обнулить прибыль целиком.</t>
  </si>
  <si>
    <t xml:space="preserve">НДС бьёт по трудоёмкому бизнесу сильнее, чем по товарному: по зарплатам зачёта</t>
  </si>
  <si>
    <t xml:space="preserve">не бывает, а ФОТ — крупнейшая статья расходов кофейни.</t>
  </si>
  <si>
    <t xml:space="preserve">Порог регистрации по НДС наступает раньше точки безубыточности. При чеке 1 200 ₸</t>
  </si>
  <si>
    <t xml:space="preserve">это примерно 100 чашек в день против 138 для выхода в ноль.</t>
  </si>
  <si>
    <t xml:space="preserve">Оборотный капитал — самая недооценённая статья вложений. Без запаса денег на</t>
  </si>
  <si>
    <t xml:space="preserve">первые месяцы бизнес попадает в кассовый разрыв ещё до выхода на плановый поток.</t>
  </si>
  <si>
    <t xml:space="preserve">ЧЕГО В МОДЕЛИ НЕТ</t>
  </si>
  <si>
    <t xml:space="preserve">Оттока постоянных клиентов. Кофейня держится примерно на 320 постоянных гостях;</t>
  </si>
  <si>
    <t xml:space="preserve">потеря 10% из них в месяц — это около 288 000 ₸ упущенной прибыли, и ни одна</t>
  </si>
  <si>
    <t xml:space="preserve">строка отчёта этого не покажет.</t>
  </si>
  <si>
    <t xml:space="preserve">Кредита и процентов по нему. Если открываетесь на заёмные — добавьте платежи</t>
  </si>
  <si>
    <t xml:space="preserve">отдельной строкой на листе «Модель».</t>
  </si>
  <si>
    <t xml:space="preserve">ОГОВОРКА</t>
  </si>
  <si>
    <t xml:space="preserve">Модель носит образовательный характер и не является финансовой или инвестиционной</t>
  </si>
  <si>
    <t xml:space="preserve">рекомендацией. Расчёты приведены для типового сценария; фактические показатели</t>
  </si>
  <si>
    <t xml:space="preserve">зависят от локации, формата и условий конкретного проекта.</t>
  </si>
  <si>
    <t xml:space="preserve">Налоговый режим требует подтверждения у профильного специалиста.</t>
  </si>
  <si>
    <t xml:space="preserve">Разбор этой модели на видео: youtube.com/@insidenumbers</t>
  </si>
  <si>
    <t xml:space="preserve">Автоматизация управленческого учёта: finflow.kz</t>
  </si>
  <si>
    <t xml:space="preserve">ДОПУЩЕНИЯ МОДЕЛИ — КОФЕЙНЯ, КАЗАХСТАН 2026</t>
  </si>
  <si>
    <t xml:space="preserve">Жёлтые ячейки — вводные, их можно менять. Все остальные листы пересчитаются автоматически.</t>
  </si>
  <si>
    <t xml:space="preserve">Показатель</t>
  </si>
  <si>
    <t xml:space="preserve">Значение</t>
  </si>
  <si>
    <t xml:space="preserve">Ед.</t>
  </si>
  <si>
    <t xml:space="preserve">Комментарий / источник</t>
  </si>
  <si>
    <t xml:space="preserve">1. ПОМЕЩЕНИЕ И АРЕНДА</t>
  </si>
  <si>
    <t xml:space="preserve">Площадь помещения</t>
  </si>
  <si>
    <t xml:space="preserve">м²</t>
  </si>
  <si>
    <t xml:space="preserve">Типовая кофейня в проходной локации — 60-100 м². Влияет на аренду, коммуналку и стоимость ремонта.</t>
  </si>
  <si>
    <t xml:space="preserve">Аренда за м² в месяц</t>
  </si>
  <si>
    <t xml:space="preserve">₸/м²</t>
  </si>
  <si>
    <t xml:space="preserve">Рынок Казахстана: 6 000-12 000 ₸/м². Дешёвая локация во дворе экономит аренду, но лишает потока — каждого гостя придётся приводить рекламой.</t>
  </si>
  <si>
    <t xml:space="preserve">Депозит и предоплата</t>
  </si>
  <si>
    <t xml:space="preserve">мес</t>
  </si>
  <si>
    <t xml:space="preserve">Сколько месяцев аренды платится вперёд при въезде. Обычно 1-2.</t>
  </si>
  <si>
    <t xml:space="preserve">2. ВЫРУЧКА</t>
  </si>
  <si>
    <t xml:space="preserve">Чашек в день</t>
  </si>
  <si>
    <t xml:space="preserve">шт</t>
  </si>
  <si>
    <t xml:space="preserve">КЛЮЧЕВОЙ РЫЧАГ. 200 чашек — работающая точка в хорошей локации. Точка безубыточности рассчитана на листе «Безубыток».</t>
  </si>
  <si>
    <t xml:space="preserve">Средний чек напитка</t>
  </si>
  <si>
    <t xml:space="preserve">₸</t>
  </si>
  <si>
    <t xml:space="preserve">Средняя цена одного напитка. Еда считается отдельно ниже.</t>
  </si>
  <si>
    <t xml:space="preserve">Рабочих дней в месяц</t>
  </si>
  <si>
    <t xml:space="preserve">дн</t>
  </si>
  <si>
    <t xml:space="preserve">Без выходных — 30. С одним выходным в неделю — 26.</t>
  </si>
  <si>
    <t xml:space="preserve">Доля чеков с едой</t>
  </si>
  <si>
    <t xml:space="preserve">%</t>
  </si>
  <si>
    <t xml:space="preserve">По умолчанию 0 — базовый расчёт только по напиткам. Поставьте 0,25 и посмотрите на прибыль: постоянные затраты не изменятся вообще. Самый дешёвый рычаг в кофейне.</t>
  </si>
  <si>
    <t xml:space="preserve">Средний чек еды</t>
  </si>
  <si>
    <t xml:space="preserve">Круассан, десерт, сэндвич. Наценка на выпечке обычно 200-300%.</t>
  </si>
  <si>
    <t xml:space="preserve">Себестоимость еды</t>
  </si>
  <si>
    <t xml:space="preserve">Закупочная цена позиции.</t>
  </si>
  <si>
    <t xml:space="preserve">3. СЕБЕСТОИМОСТЬ НАПИТКА</t>
  </si>
  <si>
    <t xml:space="preserve">Зерно на порцию</t>
  </si>
  <si>
    <t xml:space="preserve">12 г зерна на порцию эспрессо. При росте цен на кофе пересчитайте.</t>
  </si>
  <si>
    <t xml:space="preserve">Молоко</t>
  </si>
  <si>
    <t xml:space="preserve">Усреднённый расход: для чёрного кофе ноль, для латте больше.</t>
  </si>
  <si>
    <t xml:space="preserve">Стакан и крышка</t>
  </si>
  <si>
    <t xml:space="preserve">Одноразовая посуда. Для зала можно ставить меньше.</t>
  </si>
  <si>
    <t xml:space="preserve">Сиропы и расходники</t>
  </si>
  <si>
    <t xml:space="preserve">Сиропы, сахар, салфетки, размешиватели в пересчёте на порцию.</t>
  </si>
  <si>
    <t xml:space="preserve">Списания и брак</t>
  </si>
  <si>
    <t xml:space="preserve">% выручки</t>
  </si>
  <si>
    <t xml:space="preserve">Прокисшее молоко, непроданная выпечка, брак бариста. По индустрии 3-5%. Эти деньги исчезают физически, их не видно в отчёте.</t>
  </si>
  <si>
    <t xml:space="preserve">4. ПЕРСОНАЛ</t>
  </si>
  <si>
    <t xml:space="preserve">Бариста, человек</t>
  </si>
  <si>
    <t xml:space="preserve">чел</t>
  </si>
  <si>
    <t xml:space="preserve">Две смены по два человека. Меньше четырёх — не закроете неделю без выходных.</t>
  </si>
  <si>
    <t xml:space="preserve">Зарплата бариста</t>
  </si>
  <si>
    <t xml:space="preserve">₸/мес</t>
  </si>
  <si>
    <t xml:space="preserve">Рынок Казахстана 250 000-300 000 ₸. В премиальных сетях Алматы выше.</t>
  </si>
  <si>
    <t xml:space="preserve">Управляющий</t>
  </si>
  <si>
    <t xml:space="preserve">Поставьте 0, если управляете сами. Но тогда вы не собственник, а сотрудник, вложивший капитал.</t>
  </si>
  <si>
    <t xml:space="preserve">Налоги и отчисления с ФОТ</t>
  </si>
  <si>
    <t xml:space="preserve">Социальный налог, ОПВ, СО, ОСМС. Уточните актуальные ставки у бухгалтера.</t>
  </si>
  <si>
    <t xml:space="preserve">5. ПРОЧИЕ ПОСТОЯННЫЕ РАСХОДЫ</t>
  </si>
  <si>
    <t xml:space="preserve">Коммунальные услуги</t>
  </si>
  <si>
    <t xml:space="preserve">Электричество (кофемашина, холодильники, кондиционер), вода, отопление. Зимой выше.</t>
  </si>
  <si>
    <t xml:space="preserve">Маркетинг</t>
  </si>
  <si>
    <t xml:space="preserve">Первые полгода без этого о вас не узнают. Дальше можно снижать, если поток устоялся.</t>
  </si>
  <si>
    <t xml:space="preserve">Обслуживание и ремонт</t>
  </si>
  <si>
    <t xml:space="preserve">Чистка кофемашины, замена расходников, мелкий ремонт. Что-то ломается всегда.</t>
  </si>
  <si>
    <t xml:space="preserve">Софт, интернет, мусор, лицензии</t>
  </si>
  <si>
    <t xml:space="preserve">Касса, учётная программа, интернет, вывоз мусора, разрешения.</t>
  </si>
  <si>
    <t xml:space="preserve">6. НАЛОГИ И ЭКВАЙРИНГ</t>
  </si>
  <si>
    <t xml:space="preserve">Доля безналичной оплаты</t>
  </si>
  <si>
    <t xml:space="preserve">В Казахстане картой и QR платят почти все. Реалистично 85-95%.</t>
  </si>
  <si>
    <t xml:space="preserve">Ставка эквайринга</t>
  </si>
  <si>
    <t xml:space="preserve">Банки Казахстана: 1% для ИП, 1,5% для ТОО по картам, от 0,5% по QR. Ставка 3% — это комиссия маркетплейса, а не эквайринг.</t>
  </si>
  <si>
    <t xml:space="preserve">Ставка НДС</t>
  </si>
  <si>
    <t xml:space="preserve">С 1 января 2026 года — 16%. Если вы на упрощёнке и не плательщик НДС, поставьте 0 и уточните режим у бухгалтера.</t>
  </si>
  <si>
    <t xml:space="preserve">Порог регистрации по НДС</t>
  </si>
  <si>
    <t xml:space="preserve">₸/год</t>
  </si>
  <si>
    <t xml:space="preserve">10 000 МРП. При чеке 1 200 ₸ это всего 100 чашек в день — порог наступает РАНЬШЕ точки безубыточности.</t>
  </si>
  <si>
    <t xml:space="preserve">Ставка КПН</t>
  </si>
  <si>
    <t xml:space="preserve">Корпоративный подоходный налог с прибыли. Для ИП режим другой.</t>
  </si>
  <si>
    <t xml:space="preserve">7. СТАРТОВЫЕ ВЛОЖЕНИЯ</t>
  </si>
  <si>
    <t xml:space="preserve">Ремонт, за м²</t>
  </si>
  <si>
    <t xml:space="preserve">Базовый сценарий: помещение переделывается из магазина или салона — нужны водоотведение, вытяжка, электрика под кофемашину, точки воды. Если там уже был общепит, ставьте от 35 000 ₸/м².</t>
  </si>
  <si>
    <t xml:space="preserve">Кофемашина</t>
  </si>
  <si>
    <t xml:space="preserve">Профессиональная двухгруппная в Казахстане — от 1 300 000 новая, б/у от 800 000. Экономия опасна: это единственный станок вашего производства.</t>
  </si>
  <si>
    <t xml:space="preserve">Кофемолки</t>
  </si>
  <si>
    <t xml:space="preserve">Две штуки: под эспрессо и под альтернативу.</t>
  </si>
  <si>
    <t xml:space="preserve">Водоподготовка</t>
  </si>
  <si>
    <t xml:space="preserve">Кальций и магний при нагреве дают накипь и убивают машину за 12-18 месяцев. Страховка на 2,5 млн ₸ за 300 тысяч.</t>
  </si>
  <si>
    <t xml:space="preserve">Холодильное оборудование и витрина</t>
  </si>
  <si>
    <t xml:space="preserve">Холодильники, витрина под выпечку, льдогенератор.</t>
  </si>
  <si>
    <t xml:space="preserve">Мебель и барная стойка</t>
  </si>
  <si>
    <t xml:space="preserve">Стойка, столы, стулья, полки.</t>
  </si>
  <si>
    <t xml:space="preserve">Посуда и инвентарь</t>
  </si>
  <si>
    <t xml:space="preserve">Чашки, питчеры, темперы, весы, мелочь.</t>
  </si>
  <si>
    <t xml:space="preserve">Касса, терминал, интернет</t>
  </si>
  <si>
    <t xml:space="preserve">Кассовый аппарат, POS-терминал, роутер, монтаж.</t>
  </si>
  <si>
    <t xml:space="preserve">Вывеска и брендинг</t>
  </si>
  <si>
    <t xml:space="preserve">Вывеска, логотип, меню-борд, стаканы. Согласование вывески тоже стоит денег.</t>
  </si>
  <si>
    <t xml:space="preserve">Первая закупка</t>
  </si>
  <si>
    <t xml:space="preserve">Зерно, молоко, сиропы, расходники на первый месяц.</t>
  </si>
  <si>
    <t xml:space="preserve">Оборотный капитал</t>
  </si>
  <si>
    <t xml:space="preserve">Деньги на зарплату и аренду, пока точка не раскрутилась. На этом горят чаще всего: выручка ещё не вышла на план, а платить надо уже сейчас.</t>
  </si>
  <si>
    <t xml:space="preserve">Срок амортизации</t>
  </si>
  <si>
    <t xml:space="preserve">лет</t>
  </si>
  <si>
    <t xml:space="preserve">Кофемашина живёт 4-5 лет. Каждый месяц вы фактически тратите её стоимость, просто не замечаете — пока не придётся менять разом.</t>
  </si>
  <si>
    <t xml:space="preserve">8. СЕЗОННОСТЬ ВЫРУЧКИ</t>
  </si>
  <si>
    <t xml:space="preserve">Коэффициент — Январь</t>
  </si>
  <si>
    <t xml:space="preserve">×</t>
  </si>
  <si>
    <t xml:space="preserve">Провал: праздники кончились, люди экономят</t>
  </si>
  <si>
    <t xml:space="preserve">Коэффициент — Февраль</t>
  </si>
  <si>
    <t xml:space="preserve">Второй по слабости месяц</t>
  </si>
  <si>
    <t xml:space="preserve">Коэффициент — Март</t>
  </si>
  <si>
    <t xml:space="preserve">Выход из зимы</t>
  </si>
  <si>
    <t xml:space="preserve">Коэффициент — Апрель</t>
  </si>
  <si>
    <t xml:space="preserve">Стабильный месяц</t>
  </si>
  <si>
    <t xml:space="preserve">Коэффициент — Май</t>
  </si>
  <si>
    <t xml:space="preserve">Тепло, больше прогулок</t>
  </si>
  <si>
    <t xml:space="preserve">Коэффициент — Июнь</t>
  </si>
  <si>
    <t xml:space="preserve">Начало лета</t>
  </si>
  <si>
    <t xml:space="preserve">Коэффициент — Июль</t>
  </si>
  <si>
    <t xml:space="preserve">Отпуска, часть аудитории уезжает</t>
  </si>
  <si>
    <t xml:space="preserve">Коэффициент — Август</t>
  </si>
  <si>
    <t xml:space="preserve">Отпуска</t>
  </si>
  <si>
    <t xml:space="preserve">Коэффициент — Сентябрь</t>
  </si>
  <si>
    <t xml:space="preserve">Все вернулись, учёба и работа — пик</t>
  </si>
  <si>
    <t xml:space="preserve">Коэффициент — Октябрь</t>
  </si>
  <si>
    <t xml:space="preserve">Пик сезона</t>
  </si>
  <si>
    <t xml:space="preserve">Коэффициент — Ноябрь</t>
  </si>
  <si>
    <t xml:space="preserve">Холодает, спрос на горячее</t>
  </si>
  <si>
    <t xml:space="preserve">Коэффициент — Декабрь</t>
  </si>
  <si>
    <t xml:space="preserve">Праздники, подарочные сертификаты</t>
  </si>
  <si>
    <t xml:space="preserve">ОПЕРАЦИОННАЯ МОДЕЛЬ — 12 МЕСЯЦЕВ</t>
  </si>
  <si>
    <t xml:space="preserve">Все числа — формулы от листа «Допущения». Выручка каждого месяца скорректирована на сезонность.</t>
  </si>
  <si>
    <t xml:space="preserve">янв</t>
  </si>
  <si>
    <t xml:space="preserve">фев</t>
  </si>
  <si>
    <t xml:space="preserve">мар</t>
  </si>
  <si>
    <t xml:space="preserve">апр</t>
  </si>
  <si>
    <t xml:space="preserve">май</t>
  </si>
  <si>
    <t xml:space="preserve">июн</t>
  </si>
  <si>
    <t xml:space="preserve">июл</t>
  </si>
  <si>
    <t xml:space="preserve">авг</t>
  </si>
  <si>
    <t xml:space="preserve">сен</t>
  </si>
  <si>
    <t xml:space="preserve">окт</t>
  </si>
  <si>
    <t xml:space="preserve">ноя</t>
  </si>
  <si>
    <t xml:space="preserve">дек</t>
  </si>
  <si>
    <t xml:space="preserve">Итого 12 мес</t>
  </si>
  <si>
    <t xml:space="preserve">Как считается</t>
  </si>
  <si>
    <t xml:space="preserve">ОБЪЁМ</t>
  </si>
  <si>
    <t xml:space="preserve">Коэффициент сезонности</t>
  </si>
  <si>
    <t xml:space="preserve">Допущения, раздел 8</t>
  </si>
  <si>
    <t xml:space="preserve">Чашек за месяц</t>
  </si>
  <si>
    <t xml:space="preserve">Чашек в день × дней × сезонность</t>
  </si>
  <si>
    <t xml:space="preserve">Позиций еды за месяц</t>
  </si>
  <si>
    <t xml:space="preserve">Чашки × доля чеков с едой</t>
  </si>
  <si>
    <t xml:space="preserve">ВЫРУЧКА, ₸</t>
  </si>
  <si>
    <t xml:space="preserve">Выручка от напитков</t>
  </si>
  <si>
    <t xml:space="preserve">Чашки × средний чек</t>
  </si>
  <si>
    <t xml:space="preserve">Выручка от еды</t>
  </si>
  <si>
    <t xml:space="preserve">Позиции еды × чек еды</t>
  </si>
  <si>
    <t xml:space="preserve">ИТОГО ВЫРУЧКА</t>
  </si>
  <si>
    <t xml:space="preserve">Сумма</t>
  </si>
  <si>
    <t xml:space="preserve">ПЕРЕМЕННЫЕ РАСХОДЫ, ₸</t>
  </si>
  <si>
    <t xml:space="preserve">Себестоимость напитков</t>
  </si>
  <si>
    <t xml:space="preserve">Чашки × (зерно + молоко + стакан + расходники)</t>
  </si>
  <si>
    <t xml:space="preserve">Позиции еды × себестоимость</t>
  </si>
  <si>
    <t xml:space="preserve">Выручка × % списаний</t>
  </si>
  <si>
    <t xml:space="preserve">Эквайринг</t>
  </si>
  <si>
    <t xml:space="preserve">Выручка × доля безнала × ставка</t>
  </si>
  <si>
    <t xml:space="preserve">Итого переменных</t>
  </si>
  <si>
    <t xml:space="preserve">ВАЛОВАЯ ПРИБЫЛЬ</t>
  </si>
  <si>
    <t xml:space="preserve">Выручка − переменные</t>
  </si>
  <si>
    <t xml:space="preserve">ПОСТОЯННЫЕ РАСХОДЫ, ₸</t>
  </si>
  <si>
    <t xml:space="preserve">Аренда</t>
  </si>
  <si>
    <t xml:space="preserve">Площадь × ставка за м² (фикс)</t>
  </si>
  <si>
    <t xml:space="preserve">Бариста с налогами</t>
  </si>
  <si>
    <t xml:space="preserve">Человек × зарплата × (1 + налоги с ФОТ)</t>
  </si>
  <si>
    <t xml:space="preserve">Управляющий с налогами</t>
  </si>
  <si>
    <t xml:space="preserve">Оклад × (1 + налоги с ФОТ)</t>
  </si>
  <si>
    <t xml:space="preserve">Фикс из Допущений</t>
  </si>
  <si>
    <t xml:space="preserve">Софт, интернет, прочее</t>
  </si>
  <si>
    <t xml:space="preserve">Амортизация</t>
  </si>
  <si>
    <t xml:space="preserve">(Ремонт + оборудование) / срок / 12</t>
  </si>
  <si>
    <t xml:space="preserve">Итого постоянных</t>
  </si>
  <si>
    <t xml:space="preserve">Платится независимо от выручки</t>
  </si>
  <si>
    <t xml:space="preserve">НАЛОГИ, ₸</t>
  </si>
  <si>
    <t xml:space="preserve">НДС с реализации</t>
  </si>
  <si>
    <t xml:space="preserve">Выручка × 16/116</t>
  </si>
  <si>
    <t xml:space="preserve">НДС к зачёту</t>
  </si>
  <si>
    <t xml:space="preserve">Закупки × 16/116. По зарплатам зачёта НЕ бывает</t>
  </si>
  <si>
    <t xml:space="preserve">НДС к уплате</t>
  </si>
  <si>
    <t xml:space="preserve">Начисленный − зачёт</t>
  </si>
  <si>
    <t xml:space="preserve">Прибыль до КПН</t>
  </si>
  <si>
    <t xml:space="preserve">Валовая − постоянные − НДС</t>
  </si>
  <si>
    <t xml:space="preserve">КПН</t>
  </si>
  <si>
    <t xml:space="preserve">20% от прибыли, если она есть</t>
  </si>
  <si>
    <t xml:space="preserve">РЕЗУЛЬТАТ, ₸</t>
  </si>
  <si>
    <t xml:space="preserve">ЧИСТАЯ ПРИБЫЛЬ</t>
  </si>
  <si>
    <t xml:space="preserve">Прибыль до КПН − КПН</t>
  </si>
  <si>
    <t xml:space="preserve">Чистая маржа</t>
  </si>
  <si>
    <t xml:space="preserve">Прибыль / выручка</t>
  </si>
  <si>
    <t xml:space="preserve">Денежный поток</t>
  </si>
  <si>
    <t xml:space="preserve">Прибыль + амортизация (она не выплачивается)</t>
  </si>
  <si>
    <t xml:space="preserve">Накопленный денежный поток</t>
  </si>
  <si>
    <t xml:space="preserve">Старт с минуса на сумму вложений. Когда выходит в плюс — проект окупился</t>
  </si>
  <si>
    <t xml:space="preserve">Проверка порога НДС</t>
  </si>
  <si>
    <t xml:space="preserve">ВЛОЖЕНИЯ, ТОЧКА БЕЗУБЫТОЧНОСТИ И РЫЧАГИ</t>
  </si>
  <si>
    <t xml:space="preserve">Считается от листа «Допущения». Показывает, сколько чашек в день нужно, чтобы выйти в ноль.</t>
  </si>
  <si>
    <t xml:space="preserve">1. СТАРТОВЫЕ ВЛОЖЕНИЯ, ₸</t>
  </si>
  <si>
    <t xml:space="preserve">Ремонт</t>
  </si>
  <si>
    <t xml:space="preserve">Ремонт (амортизируемая часть)</t>
  </si>
  <si>
    <t xml:space="preserve">Ремонт капитализируется и амортизируется</t>
  </si>
  <si>
    <t xml:space="preserve">Оборудование и мебель</t>
  </si>
  <si>
    <t xml:space="preserve">Депозит и предоплата аренды</t>
  </si>
  <si>
    <t xml:space="preserve">Первая закупка и оборотный капитал</t>
  </si>
  <si>
    <t xml:space="preserve">ИТОГО ВЛОЖЕНИЙ</t>
  </si>
  <si>
    <t xml:space="preserve">2. ПОСТОЯННЫЕ РАСХОДЫ В МЕСЯЦ, ₸</t>
  </si>
  <si>
    <t xml:space="preserve">Коммуналка, маркетинг, обслуживание, прочее</t>
  </si>
  <si>
    <t xml:space="preserve">НДС к зачёту с постоянных</t>
  </si>
  <si>
    <t xml:space="preserve">Часть НДС возвращается — по зарплатам и амортизации нет</t>
  </si>
  <si>
    <t xml:space="preserve">Постоянные за вычетом зачёта</t>
  </si>
  <si>
    <t xml:space="preserve">3. ВКЛАД ОДНОЙ ЧАШКИ, ₸</t>
  </si>
  <si>
    <t xml:space="preserve">Средний чек</t>
  </si>
  <si>
    <t xml:space="preserve">Себестоимость напитка</t>
  </si>
  <si>
    <t xml:space="preserve">Списания на чашку</t>
  </si>
  <si>
    <t xml:space="preserve">Эквайринг на чашку</t>
  </si>
  <si>
    <t xml:space="preserve">НДС к уплате на чашку</t>
  </si>
  <si>
    <t xml:space="preserve">Разница между НДС с продажи и зачётом с себестоимости</t>
  </si>
  <si>
    <t xml:space="preserve">ВКЛАД В ПОКРЫТИЕ ПОСТОЯННЫХ</t>
  </si>
  <si>
    <t xml:space="preserve">Вклад, % от чека</t>
  </si>
  <si>
    <t xml:space="preserve">Наценка на напитке</t>
  </si>
  <si>
    <t xml:space="preserve">Кажется огромной — но это наценка на товар, а не маржа бизнеса</t>
  </si>
  <si>
    <t xml:space="preserve">4. ТОЧКА БЕЗУБЫТОЧНОСТИ</t>
  </si>
  <si>
    <t xml:space="preserve">Чашек в месяц для нуля</t>
  </si>
  <si>
    <t xml:space="preserve">ЧАШЕК В ДЕНЬ ДЛЯ НУЛЯ</t>
  </si>
  <si>
    <t xml:space="preserve">Порог НДС, чашек в день</t>
  </si>
  <si>
    <t xml:space="preserve">Налог наступает РАНЬШЕ, чем бизнес выходит в ноль</t>
  </si>
  <si>
    <t xml:space="preserve">Запас прочности</t>
  </si>
  <si>
    <t xml:space="preserve">На сколько % может упасть поток, прежде чем бизнес станет убыточным</t>
  </si>
  <si>
    <t xml:space="preserve">5. ЧУВСТВИТЕЛЬНОСТЬ: ЧИСТАЯ ПРИБЫЛЬ В МЕСЯЦ, ₸</t>
  </si>
  <si>
    <t xml:space="preserve">Аренда за м² ↓ / Чашек в день →</t>
  </si>
  <si>
    <t xml:space="preserve">Чтение: строка — ставка аренды, столбец — поток. Красное поле означает убыток.</t>
  </si>
  <si>
    <t xml:space="preserve">6. РЫЧАГИ: ЧТО ДАЁТ КАЖДЫЙ ШАГ</t>
  </si>
  <si>
    <t xml:space="preserve">Текущая чистая прибыль в месяц</t>
  </si>
  <si>
    <t xml:space="preserve">Среднее за год по модели</t>
  </si>
  <si>
    <t xml:space="preserve">+10 чашек в день</t>
  </si>
  <si>
    <t xml:space="preserve">Каждая чашка сверх безубытка почти целиком в прибыль</t>
  </si>
  <si>
    <t xml:space="preserve">+25% чеков с едой</t>
  </si>
  <si>
    <t xml:space="preserve">Постоянные расходы при этом не растут вообще</t>
  </si>
  <si>
    <t xml:space="preserve">Аренда дешевле на 2 000 ₸/м²</t>
  </si>
  <si>
    <t xml:space="preserve">Но дешёвая локация обычно означает меньший поток</t>
  </si>
  <si>
    <t xml:space="preserve">Минус управляющий (работаете сами)</t>
  </si>
  <si>
    <t xml:space="preserve">Тогда вы не собственник, а сотрудник, вложивший капитал</t>
  </si>
  <si>
    <t xml:space="preserve">Модель носит образовательный характер и не является финансовой рекомендацией.</t>
  </si>
  <si>
    <t xml:space="preserve">Налоговый режим уточните у бухгалтера: от выбора режима зависит около миллиона тенге в месяц.</t>
  </si>
  <si>
    <t xml:space="preserve">ГОДОВОЙ СВОД</t>
  </si>
  <si>
    <t xml:space="preserve">12 месяцев работы с учётом сезонности</t>
  </si>
  <si>
    <t xml:space="preserve">За год</t>
  </si>
  <si>
    <t xml:space="preserve">В среднем в месяц</t>
  </si>
  <si>
    <t xml:space="preserve">Комментарий</t>
  </si>
  <si>
    <t xml:space="preserve">ВЫРУЧКА</t>
  </si>
  <si>
    <t xml:space="preserve">Чашек продано</t>
  </si>
  <si>
    <t xml:space="preserve">Всего за год с учётом сезонности</t>
  </si>
  <si>
    <t xml:space="preserve">Выручка</t>
  </si>
  <si>
    <t xml:space="preserve">Напитки плюс еда</t>
  </si>
  <si>
    <t xml:space="preserve">РАСХОДЫ</t>
  </si>
  <si>
    <t xml:space="preserve">Переменные расходы</t>
  </si>
  <si>
    <t xml:space="preserve">Себестоимость, списания, эквайринг</t>
  </si>
  <si>
    <t xml:space="preserve">Постоянные расходы</t>
  </si>
  <si>
    <t xml:space="preserve">Аренда, ФОТ, коммуналка, амортизация</t>
  </si>
  <si>
    <t xml:space="preserve">ФОТ с налогами</t>
  </si>
  <si>
    <t xml:space="preserve">По зарплатам НДС не зачитывается</t>
  </si>
  <si>
    <t xml:space="preserve">Начисленный минус зачёт</t>
  </si>
  <si>
    <t xml:space="preserve">20% от прибыли</t>
  </si>
  <si>
    <t xml:space="preserve">РЕЗУЛЬТАТ</t>
  </si>
  <si>
    <t xml:space="preserve">Чистая прибыль</t>
  </si>
  <si>
    <t xml:space="preserve">После всех расходов и налогов</t>
  </si>
  <si>
    <t xml:space="preserve">Наценка на чашке при этом около 250%</t>
  </si>
  <si>
    <t xml:space="preserve">Прибыль плюс амортизация</t>
  </si>
  <si>
    <t xml:space="preserve">ОКУПАЕМОСТЬ</t>
  </si>
  <si>
    <t xml:space="preserve">Стартовые вложения</t>
  </si>
  <si>
    <t xml:space="preserve">Все затраты до открытия</t>
  </si>
  <si>
    <t xml:space="preserve">Окупаемость по прибыли, мес</t>
  </si>
  <si>
    <t xml:space="preserve">Консервативный расчёт — так считают в видео</t>
  </si>
  <si>
    <t xml:space="preserve">Окупаемость по ден. потоку, мес</t>
  </si>
  <si>
    <t xml:space="preserve">Реальный возврат денег</t>
  </si>
  <si>
    <t xml:space="preserve">Накопленный поток на конец года</t>
  </si>
  <si>
    <t xml:space="preserve">Минус означает, что за первый год проект ещё не вернул вложения</t>
  </si>
  <si>
    <t xml:space="preserve">ДАШБОРД СОБСТВЕННИКА — 8 ЦИФР</t>
  </si>
  <si>
    <t xml:space="preserve">Всё, что нужно смотреть каждый месяц</t>
  </si>
  <si>
    <t xml:space="preserve">1. Чашек в день</t>
  </si>
  <si>
    <t xml:space="preserve">2. Выручка, тыс ₸</t>
  </si>
  <si>
    <t xml:space="preserve">3. Переменные, тыс ₸</t>
  </si>
  <si>
    <t xml:space="preserve">4. Постоянные, тыс ₸</t>
  </si>
  <si>
    <t xml:space="preserve">5. Налоги, тыс ₸</t>
  </si>
  <si>
    <t xml:space="preserve">6. Чистая прибыль, тыс ₸</t>
  </si>
  <si>
    <t xml:space="preserve">7. Чистая маржа</t>
  </si>
  <si>
    <t xml:space="preserve">8. Накопленный поток, тыс ₸</t>
  </si>
  <si>
    <t xml:space="preserve">Что смотреть в первую очередь</t>
  </si>
  <si>
    <t xml:space="preserve">Строка 1 — главный показатель. Ниже точки безубыточности из листа «Безубыток» бизнес убыточен.</t>
  </si>
  <si>
    <t xml:space="preserve">Строка 4 не меняется от месяца к месяцу. Именно поэтому падение выручки бьёт по прибыли в разы сильнее.</t>
  </si>
  <si>
    <t xml:space="preserve">Строка 8 показывает, когда вы вернёте вложенное. Пока она в минусе — деньги ещё не отбиты.</t>
  </si>
  <si>
    <t xml:space="preserve">Январь и февраль в кофейнях провальные. Резерв на эти месяцы нужно откладывать осенью.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</si>
</sst>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;\(#,##0\);\-"/>
    <numFmt numFmtId="166" formatCode="0.0%"/>
    <numFmt numFmtId="167" formatCode="0.00"/>
    <numFmt numFmtId="168" formatCode="#,##0.0;\(#,##0.0\);\-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i val="true"/>
      <sz val="9"/>
      <color rgb="FF666666"/>
      <name val="Arial"/>
      <family val="0"/>
      <charset val="1"/>
    </font>
    <font>
      <b val="true"/>
      <sz val="11"/>
      <color rgb="FF1F3864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00FF"/>
      <name val="Arial"/>
      <family val="0"/>
      <charset val="1"/>
    </font>
    <font>
      <sz val="9"/>
      <name val="Arial"/>
      <family val="0"/>
      <charset val="1"/>
    </font>
    <font>
      <sz val="9"/>
      <color rgb="FF595959"/>
      <name val="Arial"/>
      <family val="0"/>
      <charset val="1"/>
    </font>
    <font>
      <b val="true"/>
      <sz val="9"/>
      <name val="Arial"/>
      <family val="0"/>
      <charset val="1"/>
    </font>
    <font>
      <b val="true"/>
      <sz val="10"/>
      <color rgb="FFC00000"/>
      <name val="Arial"/>
      <family val="0"/>
      <charset val="1"/>
    </font>
    <font>
      <b val="true"/>
      <sz val="13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2F2F2"/>
        <bgColor rgb="FFE2EFDA"/>
      </patternFill>
    </fill>
    <fill>
      <patternFill patternType="solid">
        <fgColor rgb="FF1F3864"/>
        <bgColor rgb="FF333399"/>
      </patternFill>
    </fill>
    <fill>
      <patternFill patternType="solid">
        <fgColor rgb="FFFFFF00"/>
        <bgColor rgb="FFFFFF00"/>
      </patternFill>
    </fill>
    <fill>
      <patternFill patternType="solid">
        <fgColor rgb="FFDDEBF7"/>
        <bgColor rgb="FFE2EFDA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7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3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3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3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5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3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13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8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ont>
        <name val="Arial"/>
        <charset val="1"/>
        <family val="0"/>
        <color rgb="FF9C0006"/>
        <sz val="10"/>
      </font>
      <fill>
        <patternFill>
          <bgColor rgb="FFFFC7CE"/>
        </patternFill>
      </fill>
    </dxf>
    <dxf>
      <fill>
        <patternFill>
          <bgColor rgb="FFE2EFDA"/>
        </patternFill>
      </fill>
    </dxf>
    <dxf>
      <font>
        <name val="Arial"/>
        <charset val="1"/>
        <family val="0"/>
        <b val="1"/>
        <color rgb="FF9C0006"/>
        <sz val="9"/>
      </font>
      <fill>
        <patternFill>
          <bgColor rgb="FFFFC7CE"/>
        </patternFill>
      </fill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2F2F2"/>
      <rgbColor rgb="FFDDEB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595959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B4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10"/>
  </cols>
  <sheetData>
    <row r="1" customFormat="false" ht="17.35" hidden="false" customHeight="false" outlineLevel="0" collapsed="false">
      <c r="B1" s="1" t="s">
        <v>0</v>
      </c>
    </row>
    <row r="2" customFormat="false" ht="15" hidden="false" customHeight="false" outlineLevel="0" collapsed="false">
      <c r="B2" s="2" t="s">
        <v>1</v>
      </c>
    </row>
    <row r="4" customFormat="false" ht="15" hidden="false" customHeight="false" outlineLevel="0" collapsed="false">
      <c r="B4" s="3" t="s">
        <v>2</v>
      </c>
    </row>
    <row r="5" customFormat="false" ht="15" hidden="false" customHeight="false" outlineLevel="0" collapsed="false">
      <c r="B5" s="4" t="s">
        <v>3</v>
      </c>
    </row>
    <row r="6" customFormat="false" ht="15" hidden="false" customHeight="false" outlineLevel="0" collapsed="false">
      <c r="B6" s="4" t="s">
        <v>4</v>
      </c>
    </row>
    <row r="7" customFormat="false" ht="15" hidden="false" customHeight="false" outlineLevel="0" collapsed="false">
      <c r="B7" s="4" t="s">
        <v>5</v>
      </c>
    </row>
    <row r="8" customFormat="false" ht="15" hidden="false" customHeight="false" outlineLevel="0" collapsed="false">
      <c r="B8" s="4" t="s">
        <v>6</v>
      </c>
    </row>
    <row r="10" customFormat="false" ht="15" hidden="false" customHeight="false" outlineLevel="0" collapsed="false">
      <c r="B10" s="3" t="s">
        <v>7</v>
      </c>
    </row>
    <row r="11" customFormat="false" ht="15" hidden="false" customHeight="false" outlineLevel="0" collapsed="false">
      <c r="B11" s="4" t="s">
        <v>8</v>
      </c>
    </row>
    <row r="12" customFormat="false" ht="15" hidden="false" customHeight="false" outlineLevel="0" collapsed="false">
      <c r="B12" s="4" t="s">
        <v>9</v>
      </c>
    </row>
    <row r="13" customFormat="false" ht="15" hidden="false" customHeight="false" outlineLevel="0" collapsed="false">
      <c r="B13" s="4" t="s">
        <v>10</v>
      </c>
    </row>
    <row r="14" customFormat="false" ht="15" hidden="false" customHeight="false" outlineLevel="0" collapsed="false">
      <c r="B14" s="4" t="s">
        <v>11</v>
      </c>
    </row>
    <row r="16" customFormat="false" ht="15" hidden="false" customHeight="false" outlineLevel="0" collapsed="false">
      <c r="B16" s="3" t="s">
        <v>12</v>
      </c>
    </row>
    <row r="17" customFormat="false" ht="15" hidden="false" customHeight="false" outlineLevel="0" collapsed="false">
      <c r="B17" s="4" t="s">
        <v>13</v>
      </c>
    </row>
    <row r="18" customFormat="false" ht="15" hidden="false" customHeight="false" outlineLevel="0" collapsed="false">
      <c r="B18" s="4" t="s">
        <v>14</v>
      </c>
    </row>
    <row r="20" customFormat="false" ht="15" hidden="false" customHeight="false" outlineLevel="0" collapsed="false">
      <c r="B20" s="4" t="s">
        <v>15</v>
      </c>
    </row>
    <row r="21" customFormat="false" ht="15" hidden="false" customHeight="false" outlineLevel="0" collapsed="false">
      <c r="B21" s="4" t="s">
        <v>16</v>
      </c>
    </row>
    <row r="23" customFormat="false" ht="15" hidden="false" customHeight="false" outlineLevel="0" collapsed="false">
      <c r="B23" s="4" t="s">
        <v>17</v>
      </c>
    </row>
    <row r="24" customFormat="false" ht="15" hidden="false" customHeight="false" outlineLevel="0" collapsed="false">
      <c r="B24" s="4" t="s">
        <v>18</v>
      </c>
    </row>
    <row r="26" customFormat="false" ht="15" hidden="false" customHeight="false" outlineLevel="0" collapsed="false">
      <c r="B26" s="4" t="s">
        <v>19</v>
      </c>
    </row>
    <row r="27" customFormat="false" ht="15" hidden="false" customHeight="false" outlineLevel="0" collapsed="false">
      <c r="B27" s="4" t="s">
        <v>20</v>
      </c>
    </row>
    <row r="29" customFormat="false" ht="15" hidden="false" customHeight="false" outlineLevel="0" collapsed="false">
      <c r="B29" s="4" t="s">
        <v>21</v>
      </c>
    </row>
    <row r="30" customFormat="false" ht="15" hidden="false" customHeight="false" outlineLevel="0" collapsed="false">
      <c r="B30" s="4" t="s">
        <v>22</v>
      </c>
    </row>
    <row r="32" customFormat="false" ht="15" hidden="false" customHeight="false" outlineLevel="0" collapsed="false">
      <c r="B32" s="3" t="s">
        <v>23</v>
      </c>
    </row>
    <row r="33" customFormat="false" ht="15" hidden="false" customHeight="false" outlineLevel="0" collapsed="false">
      <c r="B33" s="4" t="s">
        <v>24</v>
      </c>
    </row>
    <row r="34" customFormat="false" ht="15" hidden="false" customHeight="false" outlineLevel="0" collapsed="false">
      <c r="B34" s="4" t="s">
        <v>25</v>
      </c>
    </row>
    <row r="35" customFormat="false" ht="15" hidden="false" customHeight="false" outlineLevel="0" collapsed="false">
      <c r="B35" s="4" t="s">
        <v>26</v>
      </c>
    </row>
    <row r="37" customFormat="false" ht="15" hidden="false" customHeight="false" outlineLevel="0" collapsed="false">
      <c r="B37" s="4" t="s">
        <v>27</v>
      </c>
    </row>
    <row r="38" customFormat="false" ht="15" hidden="false" customHeight="false" outlineLevel="0" collapsed="false">
      <c r="B38" s="4" t="s">
        <v>28</v>
      </c>
    </row>
    <row r="40" customFormat="false" ht="15" hidden="false" customHeight="false" outlineLevel="0" collapsed="false">
      <c r="B40" s="3" t="s">
        <v>29</v>
      </c>
    </row>
    <row r="41" customFormat="false" ht="15" hidden="false" customHeight="false" outlineLevel="0" collapsed="false">
      <c r="B41" s="4" t="s">
        <v>30</v>
      </c>
    </row>
    <row r="42" customFormat="false" ht="15" hidden="false" customHeight="false" outlineLevel="0" collapsed="false">
      <c r="B42" s="4" t="s">
        <v>31</v>
      </c>
    </row>
    <row r="43" customFormat="false" ht="15" hidden="false" customHeight="false" outlineLevel="0" collapsed="false">
      <c r="B43" s="4" t="s">
        <v>32</v>
      </c>
    </row>
    <row r="44" customFormat="false" ht="15" hidden="false" customHeight="false" outlineLevel="0" collapsed="false">
      <c r="B44" s="4" t="s">
        <v>33</v>
      </c>
    </row>
    <row r="46" customFormat="false" ht="15" hidden="false" customHeight="false" outlineLevel="0" collapsed="false">
      <c r="B46" s="4" t="s">
        <v>34</v>
      </c>
    </row>
    <row r="47" customFormat="false" ht="15" hidden="false" customHeight="false" outlineLevel="0" collapsed="false">
      <c r="B47" s="4" t="s">
        <v>35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6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14"/>
    <col collapsed="false" customWidth="true" hidden="false" outlineLevel="0" max="3" min="3" style="0" width="10"/>
    <col collapsed="false" customWidth="true" hidden="false" outlineLevel="0" max="4" min="4" style="0" width="78"/>
  </cols>
  <sheetData>
    <row r="1" customFormat="false" ht="17.35" hidden="false" customHeight="false" outlineLevel="0" collapsed="false">
      <c r="A1" s="1" t="s">
        <v>36</v>
      </c>
    </row>
    <row r="2" customFormat="false" ht="15" hidden="false" customHeight="false" outlineLevel="0" collapsed="false">
      <c r="A2" s="2" t="s">
        <v>37</v>
      </c>
    </row>
    <row r="3" customFormat="false" ht="15" hidden="false" customHeight="false" outlineLevel="0" collapsed="false">
      <c r="A3" s="5" t="s">
        <v>38</v>
      </c>
      <c r="B3" s="5" t="s">
        <v>39</v>
      </c>
      <c r="C3" s="5" t="s">
        <v>40</v>
      </c>
      <c r="D3" s="5" t="s">
        <v>41</v>
      </c>
    </row>
    <row r="4" customFormat="false" ht="15" hidden="false" customHeight="false" outlineLevel="0" collapsed="false">
      <c r="A4" s="6" t="s">
        <v>42</v>
      </c>
      <c r="B4" s="7"/>
      <c r="C4" s="7"/>
      <c r="D4" s="7"/>
    </row>
    <row r="5" customFormat="false" ht="15" hidden="false" customHeight="false" outlineLevel="0" collapsed="false">
      <c r="A5" s="4" t="s">
        <v>43</v>
      </c>
      <c r="B5" s="8" t="n">
        <v>70</v>
      </c>
      <c r="C5" s="9" t="s">
        <v>44</v>
      </c>
      <c r="D5" s="10" t="s">
        <v>45</v>
      </c>
    </row>
    <row r="6" customFormat="false" ht="15" hidden="false" customHeight="false" outlineLevel="0" collapsed="false">
      <c r="A6" s="4" t="s">
        <v>46</v>
      </c>
      <c r="B6" s="8" t="n">
        <v>9000</v>
      </c>
      <c r="C6" s="9" t="s">
        <v>47</v>
      </c>
      <c r="D6" s="10" t="s">
        <v>48</v>
      </c>
    </row>
    <row r="7" customFormat="false" ht="15" hidden="false" customHeight="false" outlineLevel="0" collapsed="false">
      <c r="A7" s="4" t="s">
        <v>49</v>
      </c>
      <c r="B7" s="8" t="n">
        <v>2</v>
      </c>
      <c r="C7" s="9" t="s">
        <v>50</v>
      </c>
      <c r="D7" s="10" t="s">
        <v>51</v>
      </c>
    </row>
    <row r="9" customFormat="false" ht="15" hidden="false" customHeight="false" outlineLevel="0" collapsed="false">
      <c r="A9" s="6" t="s">
        <v>52</v>
      </c>
      <c r="B9" s="7"/>
      <c r="C9" s="7"/>
      <c r="D9" s="7"/>
    </row>
    <row r="10" customFormat="false" ht="15" hidden="false" customHeight="false" outlineLevel="0" collapsed="false">
      <c r="A10" s="4" t="s">
        <v>53</v>
      </c>
      <c r="B10" s="8" t="n">
        <v>200</v>
      </c>
      <c r="C10" s="9" t="s">
        <v>54</v>
      </c>
      <c r="D10" s="10" t="s">
        <v>55</v>
      </c>
    </row>
    <row r="11" customFormat="false" ht="15" hidden="false" customHeight="false" outlineLevel="0" collapsed="false">
      <c r="A11" s="4" t="s">
        <v>56</v>
      </c>
      <c r="B11" s="8" t="n">
        <v>1200</v>
      </c>
      <c r="C11" s="9" t="s">
        <v>57</v>
      </c>
      <c r="D11" s="10" t="s">
        <v>58</v>
      </c>
    </row>
    <row r="12" customFormat="false" ht="15" hidden="false" customHeight="false" outlineLevel="0" collapsed="false">
      <c r="A12" s="4" t="s">
        <v>59</v>
      </c>
      <c r="B12" s="8" t="n">
        <v>30</v>
      </c>
      <c r="C12" s="9" t="s">
        <v>60</v>
      </c>
      <c r="D12" s="10" t="s">
        <v>61</v>
      </c>
    </row>
    <row r="13" customFormat="false" ht="15" hidden="false" customHeight="false" outlineLevel="0" collapsed="false">
      <c r="A13" s="4" t="s">
        <v>62</v>
      </c>
      <c r="B13" s="11" t="n">
        <v>0</v>
      </c>
      <c r="C13" s="9" t="s">
        <v>63</v>
      </c>
      <c r="D13" s="10" t="s">
        <v>64</v>
      </c>
    </row>
    <row r="14" customFormat="false" ht="15" hidden="false" customHeight="false" outlineLevel="0" collapsed="false">
      <c r="A14" s="4" t="s">
        <v>65</v>
      </c>
      <c r="B14" s="8" t="n">
        <v>600</v>
      </c>
      <c r="C14" s="9" t="s">
        <v>57</v>
      </c>
      <c r="D14" s="10" t="s">
        <v>66</v>
      </c>
    </row>
    <row r="15" customFormat="false" ht="15" hidden="false" customHeight="false" outlineLevel="0" collapsed="false">
      <c r="A15" s="4" t="s">
        <v>67</v>
      </c>
      <c r="B15" s="8" t="n">
        <v>200</v>
      </c>
      <c r="C15" s="9" t="s">
        <v>57</v>
      </c>
      <c r="D15" s="10" t="s">
        <v>68</v>
      </c>
    </row>
    <row r="17" customFormat="false" ht="15" hidden="false" customHeight="false" outlineLevel="0" collapsed="false">
      <c r="A17" s="6" t="s">
        <v>69</v>
      </c>
      <c r="B17" s="7"/>
      <c r="C17" s="7"/>
      <c r="D17" s="7"/>
    </row>
    <row r="18" customFormat="false" ht="15" hidden="false" customHeight="false" outlineLevel="0" collapsed="false">
      <c r="A18" s="4" t="s">
        <v>70</v>
      </c>
      <c r="B18" s="8" t="n">
        <v>84</v>
      </c>
      <c r="C18" s="9" t="s">
        <v>57</v>
      </c>
      <c r="D18" s="10" t="s">
        <v>71</v>
      </c>
    </row>
    <row r="19" customFormat="false" ht="15" hidden="false" customHeight="false" outlineLevel="0" collapsed="false">
      <c r="A19" s="4" t="s">
        <v>72</v>
      </c>
      <c r="B19" s="8" t="n">
        <v>90</v>
      </c>
      <c r="C19" s="9" t="s">
        <v>57</v>
      </c>
      <c r="D19" s="10" t="s">
        <v>73</v>
      </c>
    </row>
    <row r="20" customFormat="false" ht="15" hidden="false" customHeight="false" outlineLevel="0" collapsed="false">
      <c r="A20" s="4" t="s">
        <v>74</v>
      </c>
      <c r="B20" s="8" t="n">
        <v>60</v>
      </c>
      <c r="C20" s="9" t="s">
        <v>57</v>
      </c>
      <c r="D20" s="10" t="s">
        <v>75</v>
      </c>
    </row>
    <row r="21" customFormat="false" ht="15" hidden="false" customHeight="false" outlineLevel="0" collapsed="false">
      <c r="A21" s="4" t="s">
        <v>76</v>
      </c>
      <c r="B21" s="8" t="n">
        <v>60</v>
      </c>
      <c r="C21" s="9" t="s">
        <v>57</v>
      </c>
      <c r="D21" s="10" t="s">
        <v>77</v>
      </c>
    </row>
    <row r="22" customFormat="false" ht="15" hidden="false" customHeight="false" outlineLevel="0" collapsed="false">
      <c r="A22" s="4" t="s">
        <v>78</v>
      </c>
      <c r="B22" s="11" t="n">
        <v>0.03</v>
      </c>
      <c r="C22" s="9" t="s">
        <v>79</v>
      </c>
      <c r="D22" s="10" t="s">
        <v>80</v>
      </c>
    </row>
    <row r="24" customFormat="false" ht="15" hidden="false" customHeight="false" outlineLevel="0" collapsed="false">
      <c r="A24" s="6" t="s">
        <v>81</v>
      </c>
      <c r="B24" s="7"/>
      <c r="C24" s="7"/>
      <c r="D24" s="7"/>
    </row>
    <row r="25" customFormat="false" ht="15" hidden="false" customHeight="false" outlineLevel="0" collapsed="false">
      <c r="A25" s="4" t="s">
        <v>82</v>
      </c>
      <c r="B25" s="8" t="n">
        <v>4</v>
      </c>
      <c r="C25" s="9" t="s">
        <v>83</v>
      </c>
      <c r="D25" s="10" t="s">
        <v>84</v>
      </c>
    </row>
    <row r="26" customFormat="false" ht="15" hidden="false" customHeight="false" outlineLevel="0" collapsed="false">
      <c r="A26" s="4" t="s">
        <v>85</v>
      </c>
      <c r="B26" s="8" t="n">
        <v>280000</v>
      </c>
      <c r="C26" s="9" t="s">
        <v>86</v>
      </c>
      <c r="D26" s="10" t="s">
        <v>87</v>
      </c>
    </row>
    <row r="27" customFormat="false" ht="15" hidden="false" customHeight="false" outlineLevel="0" collapsed="false">
      <c r="A27" s="4" t="s">
        <v>88</v>
      </c>
      <c r="B27" s="8" t="n">
        <v>400000</v>
      </c>
      <c r="C27" s="9" t="s">
        <v>86</v>
      </c>
      <c r="D27" s="10" t="s">
        <v>89</v>
      </c>
    </row>
    <row r="28" customFormat="false" ht="15" hidden="false" customHeight="false" outlineLevel="0" collapsed="false">
      <c r="A28" s="4" t="s">
        <v>90</v>
      </c>
      <c r="B28" s="11" t="n">
        <v>0.2</v>
      </c>
      <c r="C28" s="9" t="s">
        <v>63</v>
      </c>
      <c r="D28" s="10" t="s">
        <v>91</v>
      </c>
    </row>
    <row r="30" customFormat="false" ht="15" hidden="false" customHeight="false" outlineLevel="0" collapsed="false">
      <c r="A30" s="6" t="s">
        <v>92</v>
      </c>
      <c r="B30" s="7"/>
      <c r="C30" s="7"/>
      <c r="D30" s="7"/>
    </row>
    <row r="31" customFormat="false" ht="15" hidden="false" customHeight="false" outlineLevel="0" collapsed="false">
      <c r="A31" s="4" t="s">
        <v>93</v>
      </c>
      <c r="B31" s="8" t="n">
        <v>150000</v>
      </c>
      <c r="C31" s="9" t="s">
        <v>86</v>
      </c>
      <c r="D31" s="10" t="s">
        <v>94</v>
      </c>
    </row>
    <row r="32" customFormat="false" ht="15" hidden="false" customHeight="false" outlineLevel="0" collapsed="false">
      <c r="A32" s="4" t="s">
        <v>95</v>
      </c>
      <c r="B32" s="8" t="n">
        <v>150000</v>
      </c>
      <c r="C32" s="9" t="s">
        <v>86</v>
      </c>
      <c r="D32" s="10" t="s">
        <v>96</v>
      </c>
    </row>
    <row r="33" customFormat="false" ht="15" hidden="false" customHeight="false" outlineLevel="0" collapsed="false">
      <c r="A33" s="4" t="s">
        <v>97</v>
      </c>
      <c r="B33" s="8" t="n">
        <v>80000</v>
      </c>
      <c r="C33" s="9" t="s">
        <v>86</v>
      </c>
      <c r="D33" s="10" t="s">
        <v>98</v>
      </c>
    </row>
    <row r="34" customFormat="false" ht="15" hidden="false" customHeight="false" outlineLevel="0" collapsed="false">
      <c r="A34" s="4" t="s">
        <v>99</v>
      </c>
      <c r="B34" s="8" t="n">
        <v>100000</v>
      </c>
      <c r="C34" s="9" t="s">
        <v>86</v>
      </c>
      <c r="D34" s="10" t="s">
        <v>100</v>
      </c>
    </row>
    <row r="36" customFormat="false" ht="15" hidden="false" customHeight="false" outlineLevel="0" collapsed="false">
      <c r="A36" s="6" t="s">
        <v>101</v>
      </c>
      <c r="B36" s="7"/>
      <c r="C36" s="7"/>
      <c r="D36" s="7"/>
    </row>
    <row r="37" customFormat="false" ht="15" hidden="false" customHeight="false" outlineLevel="0" collapsed="false">
      <c r="A37" s="4" t="s">
        <v>102</v>
      </c>
      <c r="B37" s="11" t="n">
        <v>0.9</v>
      </c>
      <c r="C37" s="9" t="s">
        <v>63</v>
      </c>
      <c r="D37" s="10" t="s">
        <v>103</v>
      </c>
    </row>
    <row r="38" customFormat="false" ht="15" hidden="false" customHeight="false" outlineLevel="0" collapsed="false">
      <c r="A38" s="4" t="s">
        <v>104</v>
      </c>
      <c r="B38" s="11" t="n">
        <v>0.015</v>
      </c>
      <c r="C38" s="9" t="s">
        <v>63</v>
      </c>
      <c r="D38" s="10" t="s">
        <v>105</v>
      </c>
    </row>
    <row r="39" customFormat="false" ht="15" hidden="false" customHeight="false" outlineLevel="0" collapsed="false">
      <c r="A39" s="4" t="s">
        <v>106</v>
      </c>
      <c r="B39" s="11" t="n">
        <v>0.16</v>
      </c>
      <c r="C39" s="9" t="s">
        <v>63</v>
      </c>
      <c r="D39" s="10" t="s">
        <v>107</v>
      </c>
    </row>
    <row r="40" customFormat="false" ht="15" hidden="false" customHeight="false" outlineLevel="0" collapsed="false">
      <c r="A40" s="4" t="s">
        <v>108</v>
      </c>
      <c r="B40" s="8" t="n">
        <v>43250000</v>
      </c>
      <c r="C40" s="9" t="s">
        <v>109</v>
      </c>
      <c r="D40" s="10" t="s">
        <v>110</v>
      </c>
    </row>
    <row r="41" customFormat="false" ht="15" hidden="false" customHeight="false" outlineLevel="0" collapsed="false">
      <c r="A41" s="4" t="s">
        <v>111</v>
      </c>
      <c r="B41" s="11" t="n">
        <v>0.2</v>
      </c>
      <c r="C41" s="9" t="s">
        <v>63</v>
      </c>
      <c r="D41" s="10" t="s">
        <v>112</v>
      </c>
    </row>
    <row r="43" customFormat="false" ht="15" hidden="false" customHeight="false" outlineLevel="0" collapsed="false">
      <c r="A43" s="6" t="s">
        <v>113</v>
      </c>
      <c r="B43" s="7"/>
      <c r="C43" s="7"/>
      <c r="D43" s="7"/>
    </row>
    <row r="44" customFormat="false" ht="15" hidden="false" customHeight="false" outlineLevel="0" collapsed="false">
      <c r="A44" s="4" t="s">
        <v>114</v>
      </c>
      <c r="B44" s="8" t="n">
        <v>57000</v>
      </c>
      <c r="C44" s="9" t="s">
        <v>47</v>
      </c>
      <c r="D44" s="10" t="s">
        <v>115</v>
      </c>
    </row>
    <row r="45" customFormat="false" ht="15" hidden="false" customHeight="false" outlineLevel="0" collapsed="false">
      <c r="A45" s="4" t="s">
        <v>116</v>
      </c>
      <c r="B45" s="8" t="n">
        <v>2500000</v>
      </c>
      <c r="C45" s="9" t="s">
        <v>57</v>
      </c>
      <c r="D45" s="10" t="s">
        <v>117</v>
      </c>
    </row>
    <row r="46" customFormat="false" ht="15" hidden="false" customHeight="false" outlineLevel="0" collapsed="false">
      <c r="A46" s="4" t="s">
        <v>118</v>
      </c>
      <c r="B46" s="8" t="n">
        <v>600000</v>
      </c>
      <c r="C46" s="9" t="s">
        <v>57</v>
      </c>
      <c r="D46" s="10" t="s">
        <v>119</v>
      </c>
    </row>
    <row r="47" customFormat="false" ht="15" hidden="false" customHeight="false" outlineLevel="0" collapsed="false">
      <c r="A47" s="4" t="s">
        <v>120</v>
      </c>
      <c r="B47" s="8" t="n">
        <v>300000</v>
      </c>
      <c r="C47" s="9" t="s">
        <v>57</v>
      </c>
      <c r="D47" s="10" t="s">
        <v>121</v>
      </c>
    </row>
    <row r="48" customFormat="false" ht="15" hidden="false" customHeight="false" outlineLevel="0" collapsed="false">
      <c r="A48" s="4" t="s">
        <v>122</v>
      </c>
      <c r="B48" s="8" t="n">
        <v>1500000</v>
      </c>
      <c r="C48" s="9" t="s">
        <v>57</v>
      </c>
      <c r="D48" s="10" t="s">
        <v>123</v>
      </c>
    </row>
    <row r="49" customFormat="false" ht="15" hidden="false" customHeight="false" outlineLevel="0" collapsed="false">
      <c r="A49" s="4" t="s">
        <v>124</v>
      </c>
      <c r="B49" s="8" t="n">
        <v>2500000</v>
      </c>
      <c r="C49" s="9" t="s">
        <v>57</v>
      </c>
      <c r="D49" s="10" t="s">
        <v>125</v>
      </c>
    </row>
    <row r="50" customFormat="false" ht="15" hidden="false" customHeight="false" outlineLevel="0" collapsed="false">
      <c r="A50" s="4" t="s">
        <v>126</v>
      </c>
      <c r="B50" s="8" t="n">
        <v>500000</v>
      </c>
      <c r="C50" s="9" t="s">
        <v>57</v>
      </c>
      <c r="D50" s="10" t="s">
        <v>127</v>
      </c>
    </row>
    <row r="51" customFormat="false" ht="15" hidden="false" customHeight="false" outlineLevel="0" collapsed="false">
      <c r="A51" s="4" t="s">
        <v>128</v>
      </c>
      <c r="B51" s="8" t="n">
        <v>400000</v>
      </c>
      <c r="C51" s="9" t="s">
        <v>57</v>
      </c>
      <c r="D51" s="10" t="s">
        <v>129</v>
      </c>
    </row>
    <row r="52" customFormat="false" ht="15" hidden="false" customHeight="false" outlineLevel="0" collapsed="false">
      <c r="A52" s="4" t="s">
        <v>130</v>
      </c>
      <c r="B52" s="8" t="n">
        <v>800000</v>
      </c>
      <c r="C52" s="9" t="s">
        <v>57</v>
      </c>
      <c r="D52" s="10" t="s">
        <v>131</v>
      </c>
    </row>
    <row r="53" customFormat="false" ht="15" hidden="false" customHeight="false" outlineLevel="0" collapsed="false">
      <c r="A53" s="4" t="s">
        <v>132</v>
      </c>
      <c r="B53" s="8" t="n">
        <v>700000</v>
      </c>
      <c r="C53" s="9" t="s">
        <v>57</v>
      </c>
      <c r="D53" s="10" t="s">
        <v>133</v>
      </c>
    </row>
    <row r="54" customFormat="false" ht="15" hidden="false" customHeight="false" outlineLevel="0" collapsed="false">
      <c r="A54" s="4" t="s">
        <v>134</v>
      </c>
      <c r="B54" s="8" t="n">
        <v>3500000</v>
      </c>
      <c r="C54" s="9" t="s">
        <v>57</v>
      </c>
      <c r="D54" s="10" t="s">
        <v>135</v>
      </c>
    </row>
    <row r="55" customFormat="false" ht="15" hidden="false" customHeight="false" outlineLevel="0" collapsed="false">
      <c r="A55" s="4" t="s">
        <v>136</v>
      </c>
      <c r="B55" s="8" t="n">
        <v>5</v>
      </c>
      <c r="C55" s="9" t="s">
        <v>137</v>
      </c>
      <c r="D55" s="10" t="s">
        <v>138</v>
      </c>
    </row>
    <row r="57" customFormat="false" ht="15" hidden="false" customHeight="false" outlineLevel="0" collapsed="false">
      <c r="A57" s="6" t="s">
        <v>139</v>
      </c>
      <c r="B57" s="7"/>
      <c r="C57" s="7"/>
      <c r="D57" s="7"/>
    </row>
    <row r="58" customFormat="false" ht="15" hidden="false" customHeight="false" outlineLevel="0" collapsed="false">
      <c r="A58" s="4" t="s">
        <v>140</v>
      </c>
      <c r="B58" s="12" t="n">
        <v>0.75</v>
      </c>
      <c r="C58" s="9" t="s">
        <v>141</v>
      </c>
      <c r="D58" s="10" t="s">
        <v>142</v>
      </c>
    </row>
    <row r="59" customFormat="false" ht="15" hidden="false" customHeight="false" outlineLevel="0" collapsed="false">
      <c r="A59" s="4" t="s">
        <v>143</v>
      </c>
      <c r="B59" s="12" t="n">
        <v>0.8</v>
      </c>
      <c r="C59" s="9" t="s">
        <v>141</v>
      </c>
      <c r="D59" s="10" t="s">
        <v>144</v>
      </c>
    </row>
    <row r="60" customFormat="false" ht="15" hidden="false" customHeight="false" outlineLevel="0" collapsed="false">
      <c r="A60" s="4" t="s">
        <v>145</v>
      </c>
      <c r="B60" s="12" t="n">
        <v>0.95</v>
      </c>
      <c r="C60" s="9" t="s">
        <v>141</v>
      </c>
      <c r="D60" s="10" t="s">
        <v>146</v>
      </c>
    </row>
    <row r="61" customFormat="false" ht="15" hidden="false" customHeight="false" outlineLevel="0" collapsed="false">
      <c r="A61" s="4" t="s">
        <v>147</v>
      </c>
      <c r="B61" s="12" t="n">
        <v>1</v>
      </c>
      <c r="C61" s="9" t="s">
        <v>141</v>
      </c>
      <c r="D61" s="10" t="s">
        <v>148</v>
      </c>
    </row>
    <row r="62" customFormat="false" ht="15" hidden="false" customHeight="false" outlineLevel="0" collapsed="false">
      <c r="A62" s="4" t="s">
        <v>149</v>
      </c>
      <c r="B62" s="12" t="n">
        <v>1.05</v>
      </c>
      <c r="C62" s="9" t="s">
        <v>141</v>
      </c>
      <c r="D62" s="10" t="s">
        <v>150</v>
      </c>
    </row>
    <row r="63" customFormat="false" ht="15" hidden="false" customHeight="false" outlineLevel="0" collapsed="false">
      <c r="A63" s="4" t="s">
        <v>151</v>
      </c>
      <c r="B63" s="12" t="n">
        <v>1.05</v>
      </c>
      <c r="C63" s="9" t="s">
        <v>141</v>
      </c>
      <c r="D63" s="10" t="s">
        <v>152</v>
      </c>
    </row>
    <row r="64" customFormat="false" ht="15" hidden="false" customHeight="false" outlineLevel="0" collapsed="false">
      <c r="A64" s="4" t="s">
        <v>153</v>
      </c>
      <c r="B64" s="12" t="n">
        <v>1</v>
      </c>
      <c r="C64" s="9" t="s">
        <v>141</v>
      </c>
      <c r="D64" s="10" t="s">
        <v>154</v>
      </c>
    </row>
    <row r="65" customFormat="false" ht="15" hidden="false" customHeight="false" outlineLevel="0" collapsed="false">
      <c r="A65" s="4" t="s">
        <v>155</v>
      </c>
      <c r="B65" s="12" t="n">
        <v>1</v>
      </c>
      <c r="C65" s="9" t="s">
        <v>141</v>
      </c>
      <c r="D65" s="10" t="s">
        <v>156</v>
      </c>
    </row>
    <row r="66" customFormat="false" ht="15" hidden="false" customHeight="false" outlineLevel="0" collapsed="false">
      <c r="A66" s="4" t="s">
        <v>157</v>
      </c>
      <c r="B66" s="12" t="n">
        <v>1.1</v>
      </c>
      <c r="C66" s="9" t="s">
        <v>141</v>
      </c>
      <c r="D66" s="10" t="s">
        <v>158</v>
      </c>
    </row>
    <row r="67" customFormat="false" ht="15" hidden="false" customHeight="false" outlineLevel="0" collapsed="false">
      <c r="A67" s="4" t="s">
        <v>159</v>
      </c>
      <c r="B67" s="12" t="n">
        <v>1.1</v>
      </c>
      <c r="C67" s="9" t="s">
        <v>141</v>
      </c>
      <c r="D67" s="10" t="s">
        <v>160</v>
      </c>
    </row>
    <row r="68" customFormat="false" ht="15" hidden="false" customHeight="false" outlineLevel="0" collapsed="false">
      <c r="A68" s="4" t="s">
        <v>161</v>
      </c>
      <c r="B68" s="12" t="n">
        <v>1.05</v>
      </c>
      <c r="C68" s="9" t="s">
        <v>141</v>
      </c>
      <c r="D68" s="10" t="s">
        <v>162</v>
      </c>
    </row>
    <row r="69" customFormat="false" ht="15" hidden="false" customHeight="false" outlineLevel="0" collapsed="false">
      <c r="A69" s="4" t="s">
        <v>163</v>
      </c>
      <c r="B69" s="12" t="n">
        <v>1.05</v>
      </c>
      <c r="C69" s="9" t="s">
        <v>141</v>
      </c>
      <c r="D69" s="10" t="s">
        <v>164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4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3" topLeftCell="B4" activePane="bottomRight" state="frozen"/>
      <selection pane="topLeft" activeCell="A1" activeCellId="0" sqref="A1"/>
      <selection pane="topRight" activeCell="B1" activeCellId="0" sqref="B1"/>
      <selection pane="bottomLeft" activeCell="A4" activeCellId="0" sqref="A4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6"/>
    <col collapsed="false" customWidth="true" hidden="false" outlineLevel="0" max="13" min="2" style="0" width="11"/>
    <col collapsed="false" customWidth="true" hidden="false" outlineLevel="0" max="14" min="14" style="0" width="14"/>
    <col collapsed="false" customWidth="true" hidden="false" outlineLevel="0" max="15" min="15" style="0" width="52"/>
  </cols>
  <sheetData>
    <row r="1" customFormat="false" ht="17.35" hidden="false" customHeight="false" outlineLevel="0" collapsed="false">
      <c r="A1" s="1" t="s">
        <v>165</v>
      </c>
    </row>
    <row r="2" customFormat="false" ht="15" hidden="false" customHeight="false" outlineLevel="0" collapsed="false">
      <c r="A2" s="2" t="s">
        <v>166</v>
      </c>
    </row>
    <row r="3" customFormat="false" ht="15" hidden="false" customHeight="false" outlineLevel="0" collapsed="false">
      <c r="A3" s="13" t="s">
        <v>38</v>
      </c>
      <c r="B3" s="14" t="s">
        <v>167</v>
      </c>
      <c r="C3" s="14" t="s">
        <v>168</v>
      </c>
      <c r="D3" s="14" t="s">
        <v>169</v>
      </c>
      <c r="E3" s="14" t="s">
        <v>170</v>
      </c>
      <c r="F3" s="14" t="s">
        <v>171</v>
      </c>
      <c r="G3" s="14" t="s">
        <v>172</v>
      </c>
      <c r="H3" s="14" t="s">
        <v>173</v>
      </c>
      <c r="I3" s="14" t="s">
        <v>174</v>
      </c>
      <c r="J3" s="14" t="s">
        <v>175</v>
      </c>
      <c r="K3" s="14" t="s">
        <v>176</v>
      </c>
      <c r="L3" s="14" t="s">
        <v>177</v>
      </c>
      <c r="M3" s="14" t="s">
        <v>178</v>
      </c>
      <c r="N3" s="14" t="s">
        <v>179</v>
      </c>
      <c r="O3" s="13" t="s">
        <v>180</v>
      </c>
    </row>
    <row r="4" customFormat="false" ht="15" hidden="false" customHeight="false" outlineLevel="0" collapsed="false">
      <c r="A4" s="6" t="s">
        <v>181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</row>
    <row r="5" customFormat="false" ht="15" hidden="false" customHeight="false" outlineLevel="0" collapsed="false">
      <c r="A5" s="4" t="s">
        <v>182</v>
      </c>
      <c r="B5" s="15" t="n">
        <f aca="false">Допущения!$B$58</f>
        <v>0.75</v>
      </c>
      <c r="C5" s="15" t="n">
        <f aca="false">Допущения!$B$59</f>
        <v>0.8</v>
      </c>
      <c r="D5" s="15" t="n">
        <f aca="false">Допущения!$B$60</f>
        <v>0.95</v>
      </c>
      <c r="E5" s="15" t="n">
        <f aca="false">Допущения!$B$61</f>
        <v>1</v>
      </c>
      <c r="F5" s="15" t="n">
        <f aca="false">Допущения!$B$62</f>
        <v>1.05</v>
      </c>
      <c r="G5" s="15" t="n">
        <f aca="false">Допущения!$B$63</f>
        <v>1.05</v>
      </c>
      <c r="H5" s="15" t="n">
        <f aca="false">Допущения!$B$64</f>
        <v>1</v>
      </c>
      <c r="I5" s="15" t="n">
        <f aca="false">Допущения!$B$65</f>
        <v>1</v>
      </c>
      <c r="J5" s="15" t="n">
        <f aca="false">Допущения!$B$66</f>
        <v>1.1</v>
      </c>
      <c r="K5" s="15" t="n">
        <f aca="false">Допущения!$B$67</f>
        <v>1.1</v>
      </c>
      <c r="L5" s="15" t="n">
        <f aca="false">Допущения!$B$68</f>
        <v>1.05</v>
      </c>
      <c r="M5" s="15" t="n">
        <f aca="false">Допущения!$B$69</f>
        <v>1.05</v>
      </c>
      <c r="N5" s="16" t="n">
        <f aca="false">AVERAGE(B5:M5)</f>
        <v>0.991666666666667</v>
      </c>
      <c r="O5" s="10" t="s">
        <v>183</v>
      </c>
    </row>
    <row r="6" customFormat="false" ht="15" hidden="false" customHeight="false" outlineLevel="0" collapsed="false">
      <c r="A6" s="4" t="s">
        <v>184</v>
      </c>
      <c r="B6" s="17" t="n">
        <f aca="false">ROUND(Допущения!$B$10*Допущения!$B$12*B5,0)</f>
        <v>4500</v>
      </c>
      <c r="C6" s="17" t="n">
        <f aca="false">ROUND(Допущения!$B$10*Допущения!$B$12*C5,0)</f>
        <v>4800</v>
      </c>
      <c r="D6" s="17" t="n">
        <f aca="false">ROUND(Допущения!$B$10*Допущения!$B$12*D5,0)</f>
        <v>5700</v>
      </c>
      <c r="E6" s="17" t="n">
        <f aca="false">ROUND(Допущения!$B$10*Допущения!$B$12*E5,0)</f>
        <v>6000</v>
      </c>
      <c r="F6" s="17" t="n">
        <f aca="false">ROUND(Допущения!$B$10*Допущения!$B$12*F5,0)</f>
        <v>6300</v>
      </c>
      <c r="G6" s="17" t="n">
        <f aca="false">ROUND(Допущения!$B$10*Допущения!$B$12*G5,0)</f>
        <v>6300</v>
      </c>
      <c r="H6" s="17" t="n">
        <f aca="false">ROUND(Допущения!$B$10*Допущения!$B$12*H5,0)</f>
        <v>6000</v>
      </c>
      <c r="I6" s="17" t="n">
        <f aca="false">ROUND(Допущения!$B$10*Допущения!$B$12*I5,0)</f>
        <v>6000</v>
      </c>
      <c r="J6" s="17" t="n">
        <f aca="false">ROUND(Допущения!$B$10*Допущения!$B$12*J5,0)</f>
        <v>6600</v>
      </c>
      <c r="K6" s="17" t="n">
        <f aca="false">ROUND(Допущения!$B$10*Допущения!$B$12*K5,0)</f>
        <v>6600</v>
      </c>
      <c r="L6" s="17" t="n">
        <f aca="false">ROUND(Допущения!$B$10*Допущения!$B$12*L5,0)</f>
        <v>6300</v>
      </c>
      <c r="M6" s="17" t="n">
        <f aca="false">ROUND(Допущения!$B$10*Допущения!$B$12*M5,0)</f>
        <v>6300</v>
      </c>
      <c r="N6" s="18" t="n">
        <f aca="false">SUM(B6:M6)</f>
        <v>71400</v>
      </c>
      <c r="O6" s="10" t="s">
        <v>185</v>
      </c>
    </row>
    <row r="7" customFormat="false" ht="15" hidden="false" customHeight="false" outlineLevel="0" collapsed="false">
      <c r="A7" s="4" t="s">
        <v>186</v>
      </c>
      <c r="B7" s="17" t="n">
        <f aca="false">ROUND(B6*Допущения!$B$13,0)</f>
        <v>0</v>
      </c>
      <c r="C7" s="17" t="n">
        <f aca="false">ROUND(C6*Допущения!$B$13,0)</f>
        <v>0</v>
      </c>
      <c r="D7" s="17" t="n">
        <f aca="false">ROUND(D6*Допущения!$B$13,0)</f>
        <v>0</v>
      </c>
      <c r="E7" s="17" t="n">
        <f aca="false">ROUND(E6*Допущения!$B$13,0)</f>
        <v>0</v>
      </c>
      <c r="F7" s="17" t="n">
        <f aca="false">ROUND(F6*Допущения!$B$13,0)</f>
        <v>0</v>
      </c>
      <c r="G7" s="17" t="n">
        <f aca="false">ROUND(G6*Допущения!$B$13,0)</f>
        <v>0</v>
      </c>
      <c r="H7" s="17" t="n">
        <f aca="false">ROUND(H6*Допущения!$B$13,0)</f>
        <v>0</v>
      </c>
      <c r="I7" s="17" t="n">
        <f aca="false">ROUND(I6*Допущения!$B$13,0)</f>
        <v>0</v>
      </c>
      <c r="J7" s="17" t="n">
        <f aca="false">ROUND(J6*Допущения!$B$13,0)</f>
        <v>0</v>
      </c>
      <c r="K7" s="17" t="n">
        <f aca="false">ROUND(K6*Допущения!$B$13,0)</f>
        <v>0</v>
      </c>
      <c r="L7" s="17" t="n">
        <f aca="false">ROUND(L6*Допущения!$B$13,0)</f>
        <v>0</v>
      </c>
      <c r="M7" s="17" t="n">
        <f aca="false">ROUND(M6*Допущения!$B$13,0)</f>
        <v>0</v>
      </c>
      <c r="N7" s="18" t="n">
        <f aca="false">SUM(B7:M7)</f>
        <v>0</v>
      </c>
      <c r="O7" s="10" t="s">
        <v>187</v>
      </c>
    </row>
    <row r="8" customFormat="false" ht="15" hidden="false" customHeight="false" outlineLevel="0" collapsed="false">
      <c r="A8" s="6" t="s">
        <v>188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customFormat="false" ht="15" hidden="false" customHeight="false" outlineLevel="0" collapsed="false">
      <c r="A9" s="4" t="s">
        <v>189</v>
      </c>
      <c r="B9" s="17" t="n">
        <f aca="false">B6*Допущения!$B$11</f>
        <v>5400000</v>
      </c>
      <c r="C9" s="17" t="n">
        <f aca="false">C6*Допущения!$B$11</f>
        <v>5760000</v>
      </c>
      <c r="D9" s="17" t="n">
        <f aca="false">D6*Допущения!$B$11</f>
        <v>6840000</v>
      </c>
      <c r="E9" s="17" t="n">
        <f aca="false">E6*Допущения!$B$11</f>
        <v>7200000</v>
      </c>
      <c r="F9" s="17" t="n">
        <f aca="false">F6*Допущения!$B$11</f>
        <v>7560000</v>
      </c>
      <c r="G9" s="17" t="n">
        <f aca="false">G6*Допущения!$B$11</f>
        <v>7560000</v>
      </c>
      <c r="H9" s="17" t="n">
        <f aca="false">H6*Допущения!$B$11</f>
        <v>7200000</v>
      </c>
      <c r="I9" s="17" t="n">
        <f aca="false">I6*Допущения!$B$11</f>
        <v>7200000</v>
      </c>
      <c r="J9" s="17" t="n">
        <f aca="false">J6*Допущения!$B$11</f>
        <v>7920000</v>
      </c>
      <c r="K9" s="17" t="n">
        <f aca="false">K6*Допущения!$B$11</f>
        <v>7920000</v>
      </c>
      <c r="L9" s="17" t="n">
        <f aca="false">L6*Допущения!$B$11</f>
        <v>7560000</v>
      </c>
      <c r="M9" s="17" t="n">
        <f aca="false">M6*Допущения!$B$11</f>
        <v>7560000</v>
      </c>
      <c r="N9" s="18" t="n">
        <f aca="false">SUM(B9:M9)</f>
        <v>85680000</v>
      </c>
      <c r="O9" s="10" t="s">
        <v>190</v>
      </c>
    </row>
    <row r="10" customFormat="false" ht="15" hidden="false" customHeight="false" outlineLevel="0" collapsed="false">
      <c r="A10" s="4" t="s">
        <v>191</v>
      </c>
      <c r="B10" s="17" t="n">
        <f aca="false">B7*Допущения!$B$14</f>
        <v>0</v>
      </c>
      <c r="C10" s="17" t="n">
        <f aca="false">C7*Допущения!$B$14</f>
        <v>0</v>
      </c>
      <c r="D10" s="17" t="n">
        <f aca="false">D7*Допущения!$B$14</f>
        <v>0</v>
      </c>
      <c r="E10" s="17" t="n">
        <f aca="false">E7*Допущения!$B$14</f>
        <v>0</v>
      </c>
      <c r="F10" s="17" t="n">
        <f aca="false">F7*Допущения!$B$14</f>
        <v>0</v>
      </c>
      <c r="G10" s="17" t="n">
        <f aca="false">G7*Допущения!$B$14</f>
        <v>0</v>
      </c>
      <c r="H10" s="17" t="n">
        <f aca="false">H7*Допущения!$B$14</f>
        <v>0</v>
      </c>
      <c r="I10" s="17" t="n">
        <f aca="false">I7*Допущения!$B$14</f>
        <v>0</v>
      </c>
      <c r="J10" s="17" t="n">
        <f aca="false">J7*Допущения!$B$14</f>
        <v>0</v>
      </c>
      <c r="K10" s="17" t="n">
        <f aca="false">K7*Допущения!$B$14</f>
        <v>0</v>
      </c>
      <c r="L10" s="17" t="n">
        <f aca="false">L7*Допущения!$B$14</f>
        <v>0</v>
      </c>
      <c r="M10" s="17" t="n">
        <f aca="false">M7*Допущения!$B$14</f>
        <v>0</v>
      </c>
      <c r="N10" s="18" t="n">
        <f aca="false">SUM(B10:M10)</f>
        <v>0</v>
      </c>
      <c r="O10" s="10" t="s">
        <v>192</v>
      </c>
    </row>
    <row r="11" customFormat="false" ht="15" hidden="false" customHeight="false" outlineLevel="0" collapsed="false">
      <c r="A11" s="19" t="s">
        <v>193</v>
      </c>
      <c r="B11" s="18" t="n">
        <f aca="false">B9+B10</f>
        <v>5400000</v>
      </c>
      <c r="C11" s="18" t="n">
        <f aca="false">C9+C10</f>
        <v>5760000</v>
      </c>
      <c r="D11" s="18" t="n">
        <f aca="false">D9+D10</f>
        <v>6840000</v>
      </c>
      <c r="E11" s="18" t="n">
        <f aca="false">E9+E10</f>
        <v>7200000</v>
      </c>
      <c r="F11" s="18" t="n">
        <f aca="false">F9+F10</f>
        <v>7560000</v>
      </c>
      <c r="G11" s="18" t="n">
        <f aca="false">G9+G10</f>
        <v>7560000</v>
      </c>
      <c r="H11" s="18" t="n">
        <f aca="false">H9+H10</f>
        <v>7200000</v>
      </c>
      <c r="I11" s="18" t="n">
        <f aca="false">I9+I10</f>
        <v>7200000</v>
      </c>
      <c r="J11" s="18" t="n">
        <f aca="false">J9+J10</f>
        <v>7920000</v>
      </c>
      <c r="K11" s="18" t="n">
        <f aca="false">K9+K10</f>
        <v>7920000</v>
      </c>
      <c r="L11" s="18" t="n">
        <f aca="false">L9+L10</f>
        <v>7560000</v>
      </c>
      <c r="M11" s="18" t="n">
        <f aca="false">M9+M10</f>
        <v>7560000</v>
      </c>
      <c r="N11" s="18" t="n">
        <f aca="false">SUM(B11:M11)</f>
        <v>85680000</v>
      </c>
      <c r="O11" s="10" t="s">
        <v>194</v>
      </c>
    </row>
    <row r="12" customFormat="false" ht="15" hidden="false" customHeight="false" outlineLevel="0" collapsed="false">
      <c r="A12" s="6" t="s">
        <v>195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</row>
    <row r="13" customFormat="false" ht="15" hidden="false" customHeight="false" outlineLevel="0" collapsed="false">
      <c r="A13" s="4" t="s">
        <v>196</v>
      </c>
      <c r="B13" s="17" t="n">
        <f aca="false">B6*(Допущения!$B$18+Допущения!$B$19+Допущения!$B$20+Допущения!$B$21)</f>
        <v>1323000</v>
      </c>
      <c r="C13" s="17" t="n">
        <f aca="false">C6*(Допущения!$B$18+Допущения!$B$19+Допущения!$B$20+Допущения!$B$21)</f>
        <v>1411200</v>
      </c>
      <c r="D13" s="17" t="n">
        <f aca="false">D6*(Допущения!$B$18+Допущения!$B$19+Допущения!$B$20+Допущения!$B$21)</f>
        <v>1675800</v>
      </c>
      <c r="E13" s="17" t="n">
        <f aca="false">E6*(Допущения!$B$18+Допущения!$B$19+Допущения!$B$20+Допущения!$B$21)</f>
        <v>1764000</v>
      </c>
      <c r="F13" s="17" t="n">
        <f aca="false">F6*(Допущения!$B$18+Допущения!$B$19+Допущения!$B$20+Допущения!$B$21)</f>
        <v>1852200</v>
      </c>
      <c r="G13" s="17" t="n">
        <f aca="false">G6*(Допущения!$B$18+Допущения!$B$19+Допущения!$B$20+Допущения!$B$21)</f>
        <v>1852200</v>
      </c>
      <c r="H13" s="17" t="n">
        <f aca="false">H6*(Допущения!$B$18+Допущения!$B$19+Допущения!$B$20+Допущения!$B$21)</f>
        <v>1764000</v>
      </c>
      <c r="I13" s="17" t="n">
        <f aca="false">I6*(Допущения!$B$18+Допущения!$B$19+Допущения!$B$20+Допущения!$B$21)</f>
        <v>1764000</v>
      </c>
      <c r="J13" s="17" t="n">
        <f aca="false">J6*(Допущения!$B$18+Допущения!$B$19+Допущения!$B$20+Допущения!$B$21)</f>
        <v>1940400</v>
      </c>
      <c r="K13" s="17" t="n">
        <f aca="false">K6*(Допущения!$B$18+Допущения!$B$19+Допущения!$B$20+Допущения!$B$21)</f>
        <v>1940400</v>
      </c>
      <c r="L13" s="17" t="n">
        <f aca="false">L6*(Допущения!$B$18+Допущения!$B$19+Допущения!$B$20+Допущения!$B$21)</f>
        <v>1852200</v>
      </c>
      <c r="M13" s="17" t="n">
        <f aca="false">M6*(Допущения!$B$18+Допущения!$B$19+Допущения!$B$20+Допущения!$B$21)</f>
        <v>1852200</v>
      </c>
      <c r="N13" s="18" t="n">
        <f aca="false">SUM(B13:M13)</f>
        <v>20991600</v>
      </c>
      <c r="O13" s="10" t="s">
        <v>197</v>
      </c>
    </row>
    <row r="14" customFormat="false" ht="15" hidden="false" customHeight="false" outlineLevel="0" collapsed="false">
      <c r="A14" s="4" t="s">
        <v>67</v>
      </c>
      <c r="B14" s="17" t="n">
        <f aca="false">B7*Допущения!$B$15</f>
        <v>0</v>
      </c>
      <c r="C14" s="17" t="n">
        <f aca="false">C7*Допущения!$B$15</f>
        <v>0</v>
      </c>
      <c r="D14" s="17" t="n">
        <f aca="false">D7*Допущения!$B$15</f>
        <v>0</v>
      </c>
      <c r="E14" s="17" t="n">
        <f aca="false">E7*Допущения!$B$15</f>
        <v>0</v>
      </c>
      <c r="F14" s="17" t="n">
        <f aca="false">F7*Допущения!$B$15</f>
        <v>0</v>
      </c>
      <c r="G14" s="17" t="n">
        <f aca="false">G7*Допущения!$B$15</f>
        <v>0</v>
      </c>
      <c r="H14" s="17" t="n">
        <f aca="false">H7*Допущения!$B$15</f>
        <v>0</v>
      </c>
      <c r="I14" s="17" t="n">
        <f aca="false">I7*Допущения!$B$15</f>
        <v>0</v>
      </c>
      <c r="J14" s="17" t="n">
        <f aca="false">J7*Допущения!$B$15</f>
        <v>0</v>
      </c>
      <c r="K14" s="17" t="n">
        <f aca="false">K7*Допущения!$B$15</f>
        <v>0</v>
      </c>
      <c r="L14" s="17" t="n">
        <f aca="false">L7*Допущения!$B$15</f>
        <v>0</v>
      </c>
      <c r="M14" s="17" t="n">
        <f aca="false">M7*Допущения!$B$15</f>
        <v>0</v>
      </c>
      <c r="N14" s="18" t="n">
        <f aca="false">SUM(B14:M14)</f>
        <v>0</v>
      </c>
      <c r="O14" s="10" t="s">
        <v>198</v>
      </c>
    </row>
    <row r="15" customFormat="false" ht="15" hidden="false" customHeight="false" outlineLevel="0" collapsed="false">
      <c r="A15" s="4" t="s">
        <v>78</v>
      </c>
      <c r="B15" s="17" t="n">
        <f aca="false">B11*Допущения!$B$22</f>
        <v>162000</v>
      </c>
      <c r="C15" s="17" t="n">
        <f aca="false">C11*Допущения!$B$22</f>
        <v>172800</v>
      </c>
      <c r="D15" s="17" t="n">
        <f aca="false">D11*Допущения!$B$22</f>
        <v>205200</v>
      </c>
      <c r="E15" s="17" t="n">
        <f aca="false">E11*Допущения!$B$22</f>
        <v>216000</v>
      </c>
      <c r="F15" s="17" t="n">
        <f aca="false">F11*Допущения!$B$22</f>
        <v>226800</v>
      </c>
      <c r="G15" s="17" t="n">
        <f aca="false">G11*Допущения!$B$22</f>
        <v>226800</v>
      </c>
      <c r="H15" s="17" t="n">
        <f aca="false">H11*Допущения!$B$22</f>
        <v>216000</v>
      </c>
      <c r="I15" s="17" t="n">
        <f aca="false">I11*Допущения!$B$22</f>
        <v>216000</v>
      </c>
      <c r="J15" s="17" t="n">
        <f aca="false">J11*Допущения!$B$22</f>
        <v>237600</v>
      </c>
      <c r="K15" s="17" t="n">
        <f aca="false">K11*Допущения!$B$22</f>
        <v>237600</v>
      </c>
      <c r="L15" s="17" t="n">
        <f aca="false">L11*Допущения!$B$22</f>
        <v>226800</v>
      </c>
      <c r="M15" s="17" t="n">
        <f aca="false">M11*Допущения!$B$22</f>
        <v>226800</v>
      </c>
      <c r="N15" s="18" t="n">
        <f aca="false">SUM(B15:M15)</f>
        <v>2570400</v>
      </c>
      <c r="O15" s="10" t="s">
        <v>199</v>
      </c>
    </row>
    <row r="16" customFormat="false" ht="15" hidden="false" customHeight="false" outlineLevel="0" collapsed="false">
      <c r="A16" s="4" t="s">
        <v>200</v>
      </c>
      <c r="B16" s="17" t="n">
        <f aca="false">B11*Допущения!$B$37*Допущения!$B$38</f>
        <v>72900</v>
      </c>
      <c r="C16" s="17" t="n">
        <f aca="false">C11*Допущения!$B$37*Допущения!$B$38</f>
        <v>77760</v>
      </c>
      <c r="D16" s="17" t="n">
        <f aca="false">D11*Допущения!$B$37*Допущения!$B$38</f>
        <v>92340</v>
      </c>
      <c r="E16" s="17" t="n">
        <f aca="false">E11*Допущения!$B$37*Допущения!$B$38</f>
        <v>97200</v>
      </c>
      <c r="F16" s="17" t="n">
        <f aca="false">F11*Допущения!$B$37*Допущения!$B$38</f>
        <v>102060</v>
      </c>
      <c r="G16" s="17" t="n">
        <f aca="false">G11*Допущения!$B$37*Допущения!$B$38</f>
        <v>102060</v>
      </c>
      <c r="H16" s="17" t="n">
        <f aca="false">H11*Допущения!$B$37*Допущения!$B$38</f>
        <v>97200</v>
      </c>
      <c r="I16" s="17" t="n">
        <f aca="false">I11*Допущения!$B$37*Допущения!$B$38</f>
        <v>97200</v>
      </c>
      <c r="J16" s="17" t="n">
        <f aca="false">J11*Допущения!$B$37*Допущения!$B$38</f>
        <v>106920</v>
      </c>
      <c r="K16" s="17" t="n">
        <f aca="false">K11*Допущения!$B$37*Допущения!$B$38</f>
        <v>106920</v>
      </c>
      <c r="L16" s="17" t="n">
        <f aca="false">L11*Допущения!$B$37*Допущения!$B$38</f>
        <v>102060</v>
      </c>
      <c r="M16" s="17" t="n">
        <f aca="false">M11*Допущения!$B$37*Допущения!$B$38</f>
        <v>102060</v>
      </c>
      <c r="N16" s="18" t="n">
        <f aca="false">SUM(B16:M16)</f>
        <v>1156680</v>
      </c>
      <c r="O16" s="10" t="s">
        <v>201</v>
      </c>
    </row>
    <row r="17" customFormat="false" ht="15" hidden="false" customHeight="false" outlineLevel="0" collapsed="false">
      <c r="A17" s="19" t="s">
        <v>202</v>
      </c>
      <c r="B17" s="20" t="n">
        <f aca="false">SUM(B13:B16)</f>
        <v>1557900</v>
      </c>
      <c r="C17" s="20" t="n">
        <f aca="false">SUM(C13:C16)</f>
        <v>1661760</v>
      </c>
      <c r="D17" s="20" t="n">
        <f aca="false">SUM(D13:D16)</f>
        <v>1973340</v>
      </c>
      <c r="E17" s="20" t="n">
        <f aca="false">SUM(E13:E16)</f>
        <v>2077200</v>
      </c>
      <c r="F17" s="20" t="n">
        <f aca="false">SUM(F13:F16)</f>
        <v>2181060</v>
      </c>
      <c r="G17" s="20" t="n">
        <f aca="false">SUM(G13:G16)</f>
        <v>2181060</v>
      </c>
      <c r="H17" s="20" t="n">
        <f aca="false">SUM(H13:H16)</f>
        <v>2077200</v>
      </c>
      <c r="I17" s="20" t="n">
        <f aca="false">SUM(I13:I16)</f>
        <v>2077200</v>
      </c>
      <c r="J17" s="20" t="n">
        <f aca="false">SUM(J13:J16)</f>
        <v>2284920</v>
      </c>
      <c r="K17" s="20" t="n">
        <f aca="false">SUM(K13:K16)</f>
        <v>2284920</v>
      </c>
      <c r="L17" s="20" t="n">
        <f aca="false">SUM(L13:L16)</f>
        <v>2181060</v>
      </c>
      <c r="M17" s="20" t="n">
        <f aca="false">SUM(M13:M16)</f>
        <v>2181060</v>
      </c>
      <c r="N17" s="18" t="n">
        <f aca="false">SUM(B17:M17)</f>
        <v>24718680</v>
      </c>
      <c r="O17" s="10" t="s">
        <v>194</v>
      </c>
    </row>
    <row r="18" customFormat="false" ht="15" hidden="false" customHeight="false" outlineLevel="0" collapsed="false">
      <c r="A18" s="19" t="s">
        <v>203</v>
      </c>
      <c r="B18" s="18" t="n">
        <f aca="false">B11-B17</f>
        <v>3842100</v>
      </c>
      <c r="C18" s="18" t="n">
        <f aca="false">C11-C17</f>
        <v>4098240</v>
      </c>
      <c r="D18" s="18" t="n">
        <f aca="false">D11-D17</f>
        <v>4866660</v>
      </c>
      <c r="E18" s="18" t="n">
        <f aca="false">E11-E17</f>
        <v>5122800</v>
      </c>
      <c r="F18" s="18" t="n">
        <f aca="false">F11-F17</f>
        <v>5378940</v>
      </c>
      <c r="G18" s="18" t="n">
        <f aca="false">G11-G17</f>
        <v>5378940</v>
      </c>
      <c r="H18" s="18" t="n">
        <f aca="false">H11-H17</f>
        <v>5122800</v>
      </c>
      <c r="I18" s="18" t="n">
        <f aca="false">I11-I17</f>
        <v>5122800</v>
      </c>
      <c r="J18" s="18" t="n">
        <f aca="false">J11-J17</f>
        <v>5635080</v>
      </c>
      <c r="K18" s="18" t="n">
        <f aca="false">K11-K17</f>
        <v>5635080</v>
      </c>
      <c r="L18" s="18" t="n">
        <f aca="false">L11-L17</f>
        <v>5378940</v>
      </c>
      <c r="M18" s="18" t="n">
        <f aca="false">M11-M17</f>
        <v>5378940</v>
      </c>
      <c r="N18" s="18" t="n">
        <f aca="false">SUM(B18:M18)</f>
        <v>60961320</v>
      </c>
      <c r="O18" s="10" t="s">
        <v>204</v>
      </c>
    </row>
    <row r="19" customFormat="false" ht="15" hidden="false" customHeight="false" outlineLevel="0" collapsed="false">
      <c r="A19" s="6" t="s">
        <v>205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customFormat="false" ht="15" hidden="false" customHeight="false" outlineLevel="0" collapsed="false">
      <c r="A20" s="4" t="s">
        <v>206</v>
      </c>
      <c r="B20" s="17" t="n">
        <f aca="false">Допущения!$B$5*Допущения!$B$6</f>
        <v>630000</v>
      </c>
      <c r="C20" s="17" t="n">
        <f aca="false">Допущения!$B$5*Допущения!$B$6</f>
        <v>630000</v>
      </c>
      <c r="D20" s="17" t="n">
        <f aca="false">Допущения!$B$5*Допущения!$B$6</f>
        <v>630000</v>
      </c>
      <c r="E20" s="17" t="n">
        <f aca="false">Допущения!$B$5*Допущения!$B$6</f>
        <v>630000</v>
      </c>
      <c r="F20" s="17" t="n">
        <f aca="false">Допущения!$B$5*Допущения!$B$6</f>
        <v>630000</v>
      </c>
      <c r="G20" s="17" t="n">
        <f aca="false">Допущения!$B$5*Допущения!$B$6</f>
        <v>630000</v>
      </c>
      <c r="H20" s="17" t="n">
        <f aca="false">Допущения!$B$5*Допущения!$B$6</f>
        <v>630000</v>
      </c>
      <c r="I20" s="17" t="n">
        <f aca="false">Допущения!$B$5*Допущения!$B$6</f>
        <v>630000</v>
      </c>
      <c r="J20" s="17" t="n">
        <f aca="false">Допущения!$B$5*Допущения!$B$6</f>
        <v>630000</v>
      </c>
      <c r="K20" s="17" t="n">
        <f aca="false">Допущения!$B$5*Допущения!$B$6</f>
        <v>630000</v>
      </c>
      <c r="L20" s="17" t="n">
        <f aca="false">Допущения!$B$5*Допущения!$B$6</f>
        <v>630000</v>
      </c>
      <c r="M20" s="17" t="n">
        <f aca="false">Допущения!$B$5*Допущения!$B$6</f>
        <v>630000</v>
      </c>
      <c r="N20" s="18" t="n">
        <f aca="false">SUM(B20:M20)</f>
        <v>7560000</v>
      </c>
      <c r="O20" s="10" t="s">
        <v>207</v>
      </c>
    </row>
    <row r="21" customFormat="false" ht="15" hidden="false" customHeight="false" outlineLevel="0" collapsed="false">
      <c r="A21" s="4" t="s">
        <v>208</v>
      </c>
      <c r="B21" s="17" t="n">
        <f aca="false">Допущения!$B$25*Допущения!$B$26*(1+Допущения!$B$28)</f>
        <v>1344000</v>
      </c>
      <c r="C21" s="17" t="n">
        <f aca="false">Допущения!$B$25*Допущения!$B$26*(1+Допущения!$B$28)</f>
        <v>1344000</v>
      </c>
      <c r="D21" s="17" t="n">
        <f aca="false">Допущения!$B$25*Допущения!$B$26*(1+Допущения!$B$28)</f>
        <v>1344000</v>
      </c>
      <c r="E21" s="17" t="n">
        <f aca="false">Допущения!$B$25*Допущения!$B$26*(1+Допущения!$B$28)</f>
        <v>1344000</v>
      </c>
      <c r="F21" s="17" t="n">
        <f aca="false">Допущения!$B$25*Допущения!$B$26*(1+Допущения!$B$28)</f>
        <v>1344000</v>
      </c>
      <c r="G21" s="17" t="n">
        <f aca="false">Допущения!$B$25*Допущения!$B$26*(1+Допущения!$B$28)</f>
        <v>1344000</v>
      </c>
      <c r="H21" s="17" t="n">
        <f aca="false">Допущения!$B$25*Допущения!$B$26*(1+Допущения!$B$28)</f>
        <v>1344000</v>
      </c>
      <c r="I21" s="17" t="n">
        <f aca="false">Допущения!$B$25*Допущения!$B$26*(1+Допущения!$B$28)</f>
        <v>1344000</v>
      </c>
      <c r="J21" s="17" t="n">
        <f aca="false">Допущения!$B$25*Допущения!$B$26*(1+Допущения!$B$28)</f>
        <v>1344000</v>
      </c>
      <c r="K21" s="17" t="n">
        <f aca="false">Допущения!$B$25*Допущения!$B$26*(1+Допущения!$B$28)</f>
        <v>1344000</v>
      </c>
      <c r="L21" s="17" t="n">
        <f aca="false">Допущения!$B$25*Допущения!$B$26*(1+Допущения!$B$28)</f>
        <v>1344000</v>
      </c>
      <c r="M21" s="17" t="n">
        <f aca="false">Допущения!$B$25*Допущения!$B$26*(1+Допущения!$B$28)</f>
        <v>1344000</v>
      </c>
      <c r="N21" s="18" t="n">
        <f aca="false">SUM(B21:M21)</f>
        <v>16128000</v>
      </c>
      <c r="O21" s="10" t="s">
        <v>209</v>
      </c>
    </row>
    <row r="22" customFormat="false" ht="15" hidden="false" customHeight="false" outlineLevel="0" collapsed="false">
      <c r="A22" s="4" t="s">
        <v>210</v>
      </c>
      <c r="B22" s="17" t="n">
        <f aca="false">Допущения!$B$27*(1+Допущения!$B$28)</f>
        <v>480000</v>
      </c>
      <c r="C22" s="17" t="n">
        <f aca="false">Допущения!$B$27*(1+Допущения!$B$28)</f>
        <v>480000</v>
      </c>
      <c r="D22" s="17" t="n">
        <f aca="false">Допущения!$B$27*(1+Допущения!$B$28)</f>
        <v>480000</v>
      </c>
      <c r="E22" s="17" t="n">
        <f aca="false">Допущения!$B$27*(1+Допущения!$B$28)</f>
        <v>480000</v>
      </c>
      <c r="F22" s="17" t="n">
        <f aca="false">Допущения!$B$27*(1+Допущения!$B$28)</f>
        <v>480000</v>
      </c>
      <c r="G22" s="17" t="n">
        <f aca="false">Допущения!$B$27*(1+Допущения!$B$28)</f>
        <v>480000</v>
      </c>
      <c r="H22" s="17" t="n">
        <f aca="false">Допущения!$B$27*(1+Допущения!$B$28)</f>
        <v>480000</v>
      </c>
      <c r="I22" s="17" t="n">
        <f aca="false">Допущения!$B$27*(1+Допущения!$B$28)</f>
        <v>480000</v>
      </c>
      <c r="J22" s="17" t="n">
        <f aca="false">Допущения!$B$27*(1+Допущения!$B$28)</f>
        <v>480000</v>
      </c>
      <c r="K22" s="17" t="n">
        <f aca="false">Допущения!$B$27*(1+Допущения!$B$28)</f>
        <v>480000</v>
      </c>
      <c r="L22" s="17" t="n">
        <f aca="false">Допущения!$B$27*(1+Допущения!$B$28)</f>
        <v>480000</v>
      </c>
      <c r="M22" s="17" t="n">
        <f aca="false">Допущения!$B$27*(1+Допущения!$B$28)</f>
        <v>480000</v>
      </c>
      <c r="N22" s="18" t="n">
        <f aca="false">SUM(B22:M22)</f>
        <v>5760000</v>
      </c>
      <c r="O22" s="10" t="s">
        <v>211</v>
      </c>
    </row>
    <row r="23" customFormat="false" ht="15" hidden="false" customHeight="false" outlineLevel="0" collapsed="false">
      <c r="A23" s="4" t="s">
        <v>93</v>
      </c>
      <c r="B23" s="17" t="n">
        <f aca="false">Допущения!$B$31</f>
        <v>150000</v>
      </c>
      <c r="C23" s="17" t="n">
        <f aca="false">Допущения!$B$31</f>
        <v>150000</v>
      </c>
      <c r="D23" s="17" t="n">
        <f aca="false">Допущения!$B$31</f>
        <v>150000</v>
      </c>
      <c r="E23" s="17" t="n">
        <f aca="false">Допущения!$B$31</f>
        <v>150000</v>
      </c>
      <c r="F23" s="17" t="n">
        <f aca="false">Допущения!$B$31</f>
        <v>150000</v>
      </c>
      <c r="G23" s="17" t="n">
        <f aca="false">Допущения!$B$31</f>
        <v>150000</v>
      </c>
      <c r="H23" s="17" t="n">
        <f aca="false">Допущения!$B$31</f>
        <v>150000</v>
      </c>
      <c r="I23" s="17" t="n">
        <f aca="false">Допущения!$B$31</f>
        <v>150000</v>
      </c>
      <c r="J23" s="17" t="n">
        <f aca="false">Допущения!$B$31</f>
        <v>150000</v>
      </c>
      <c r="K23" s="17" t="n">
        <f aca="false">Допущения!$B$31</f>
        <v>150000</v>
      </c>
      <c r="L23" s="17" t="n">
        <f aca="false">Допущения!$B$31</f>
        <v>150000</v>
      </c>
      <c r="M23" s="17" t="n">
        <f aca="false">Допущения!$B$31</f>
        <v>150000</v>
      </c>
      <c r="N23" s="18" t="n">
        <f aca="false">SUM(B23:M23)</f>
        <v>1800000</v>
      </c>
      <c r="O23" s="10" t="s">
        <v>212</v>
      </c>
    </row>
    <row r="24" customFormat="false" ht="15" hidden="false" customHeight="false" outlineLevel="0" collapsed="false">
      <c r="A24" s="4" t="s">
        <v>95</v>
      </c>
      <c r="B24" s="17" t="n">
        <f aca="false">Допущения!$B$32</f>
        <v>150000</v>
      </c>
      <c r="C24" s="17" t="n">
        <f aca="false">Допущения!$B$32</f>
        <v>150000</v>
      </c>
      <c r="D24" s="17" t="n">
        <f aca="false">Допущения!$B$32</f>
        <v>150000</v>
      </c>
      <c r="E24" s="17" t="n">
        <f aca="false">Допущения!$B$32</f>
        <v>150000</v>
      </c>
      <c r="F24" s="17" t="n">
        <f aca="false">Допущения!$B$32</f>
        <v>150000</v>
      </c>
      <c r="G24" s="17" t="n">
        <f aca="false">Допущения!$B$32</f>
        <v>150000</v>
      </c>
      <c r="H24" s="17" t="n">
        <f aca="false">Допущения!$B$32</f>
        <v>150000</v>
      </c>
      <c r="I24" s="17" t="n">
        <f aca="false">Допущения!$B$32</f>
        <v>150000</v>
      </c>
      <c r="J24" s="17" t="n">
        <f aca="false">Допущения!$B$32</f>
        <v>150000</v>
      </c>
      <c r="K24" s="17" t="n">
        <f aca="false">Допущения!$B$32</f>
        <v>150000</v>
      </c>
      <c r="L24" s="17" t="n">
        <f aca="false">Допущения!$B$32</f>
        <v>150000</v>
      </c>
      <c r="M24" s="17" t="n">
        <f aca="false">Допущения!$B$32</f>
        <v>150000</v>
      </c>
      <c r="N24" s="18" t="n">
        <f aca="false">SUM(B24:M24)</f>
        <v>1800000</v>
      </c>
      <c r="O24" s="10" t="s">
        <v>212</v>
      </c>
    </row>
    <row r="25" customFormat="false" ht="15" hidden="false" customHeight="false" outlineLevel="0" collapsed="false">
      <c r="A25" s="4" t="s">
        <v>97</v>
      </c>
      <c r="B25" s="17" t="n">
        <f aca="false">Допущения!$B$33</f>
        <v>80000</v>
      </c>
      <c r="C25" s="17" t="n">
        <f aca="false">Допущения!$B$33</f>
        <v>80000</v>
      </c>
      <c r="D25" s="17" t="n">
        <f aca="false">Допущения!$B$33</f>
        <v>80000</v>
      </c>
      <c r="E25" s="17" t="n">
        <f aca="false">Допущения!$B$33</f>
        <v>80000</v>
      </c>
      <c r="F25" s="17" t="n">
        <f aca="false">Допущения!$B$33</f>
        <v>80000</v>
      </c>
      <c r="G25" s="17" t="n">
        <f aca="false">Допущения!$B$33</f>
        <v>80000</v>
      </c>
      <c r="H25" s="17" t="n">
        <f aca="false">Допущения!$B$33</f>
        <v>80000</v>
      </c>
      <c r="I25" s="17" t="n">
        <f aca="false">Допущения!$B$33</f>
        <v>80000</v>
      </c>
      <c r="J25" s="17" t="n">
        <f aca="false">Допущения!$B$33</f>
        <v>80000</v>
      </c>
      <c r="K25" s="17" t="n">
        <f aca="false">Допущения!$B$33</f>
        <v>80000</v>
      </c>
      <c r="L25" s="17" t="n">
        <f aca="false">Допущения!$B$33</f>
        <v>80000</v>
      </c>
      <c r="M25" s="17" t="n">
        <f aca="false">Допущения!$B$33</f>
        <v>80000</v>
      </c>
      <c r="N25" s="18" t="n">
        <f aca="false">SUM(B25:M25)</f>
        <v>960000</v>
      </c>
      <c r="O25" s="10" t="s">
        <v>212</v>
      </c>
    </row>
    <row r="26" customFormat="false" ht="15" hidden="false" customHeight="false" outlineLevel="0" collapsed="false">
      <c r="A26" s="4" t="s">
        <v>213</v>
      </c>
      <c r="B26" s="17" t="n">
        <f aca="false">Допущения!$B$34</f>
        <v>100000</v>
      </c>
      <c r="C26" s="17" t="n">
        <f aca="false">Допущения!$B$34</f>
        <v>100000</v>
      </c>
      <c r="D26" s="17" t="n">
        <f aca="false">Допущения!$B$34</f>
        <v>100000</v>
      </c>
      <c r="E26" s="17" t="n">
        <f aca="false">Допущения!$B$34</f>
        <v>100000</v>
      </c>
      <c r="F26" s="17" t="n">
        <f aca="false">Допущения!$B$34</f>
        <v>100000</v>
      </c>
      <c r="G26" s="17" t="n">
        <f aca="false">Допущения!$B$34</f>
        <v>100000</v>
      </c>
      <c r="H26" s="17" t="n">
        <f aca="false">Допущения!$B$34</f>
        <v>100000</v>
      </c>
      <c r="I26" s="17" t="n">
        <f aca="false">Допущения!$B$34</f>
        <v>100000</v>
      </c>
      <c r="J26" s="17" t="n">
        <f aca="false">Допущения!$B$34</f>
        <v>100000</v>
      </c>
      <c r="K26" s="17" t="n">
        <f aca="false">Допущения!$B$34</f>
        <v>100000</v>
      </c>
      <c r="L26" s="17" t="n">
        <f aca="false">Допущения!$B$34</f>
        <v>100000</v>
      </c>
      <c r="M26" s="17" t="n">
        <f aca="false">Допущения!$B$34</f>
        <v>100000</v>
      </c>
      <c r="N26" s="18" t="n">
        <f aca="false">SUM(B26:M26)</f>
        <v>1200000</v>
      </c>
      <c r="O26" s="10" t="s">
        <v>212</v>
      </c>
    </row>
    <row r="27" customFormat="false" ht="15" hidden="false" customHeight="false" outlineLevel="0" collapsed="false">
      <c r="A27" s="4" t="s">
        <v>214</v>
      </c>
      <c r="B27" s="17" t="n">
        <f aca="false">(Безубыток!$B$6+Безубыток!$B$7)/Допущения!$B$55/12</f>
        <v>218166.666666667</v>
      </c>
      <c r="C27" s="17" t="n">
        <f aca="false">(Безубыток!$B$6+Безубыток!$B$7)/Допущения!$B$55/12</f>
        <v>218166.666666667</v>
      </c>
      <c r="D27" s="17" t="n">
        <f aca="false">(Безубыток!$B$6+Безубыток!$B$7)/Допущения!$B$55/12</f>
        <v>218166.666666667</v>
      </c>
      <c r="E27" s="17" t="n">
        <f aca="false">(Безубыток!$B$6+Безубыток!$B$7)/Допущения!$B$55/12</f>
        <v>218166.666666667</v>
      </c>
      <c r="F27" s="17" t="n">
        <f aca="false">(Безубыток!$B$6+Безубыток!$B$7)/Допущения!$B$55/12</f>
        <v>218166.666666667</v>
      </c>
      <c r="G27" s="17" t="n">
        <f aca="false">(Безубыток!$B$6+Безубыток!$B$7)/Допущения!$B$55/12</f>
        <v>218166.666666667</v>
      </c>
      <c r="H27" s="17" t="n">
        <f aca="false">(Безубыток!$B$6+Безубыток!$B$7)/Допущения!$B$55/12</f>
        <v>218166.666666667</v>
      </c>
      <c r="I27" s="17" t="n">
        <f aca="false">(Безубыток!$B$6+Безубыток!$B$7)/Допущения!$B$55/12</f>
        <v>218166.666666667</v>
      </c>
      <c r="J27" s="17" t="n">
        <f aca="false">(Безубыток!$B$6+Безубыток!$B$7)/Допущения!$B$55/12</f>
        <v>218166.666666667</v>
      </c>
      <c r="K27" s="17" t="n">
        <f aca="false">(Безубыток!$B$6+Безубыток!$B$7)/Допущения!$B$55/12</f>
        <v>218166.666666667</v>
      </c>
      <c r="L27" s="17" t="n">
        <f aca="false">(Безубыток!$B$6+Безубыток!$B$7)/Допущения!$B$55/12</f>
        <v>218166.666666667</v>
      </c>
      <c r="M27" s="17" t="n">
        <f aca="false">(Безубыток!$B$6+Безубыток!$B$7)/Допущения!$B$55/12</f>
        <v>218166.666666667</v>
      </c>
      <c r="N27" s="18" t="n">
        <f aca="false">SUM(B27:M27)</f>
        <v>2618000</v>
      </c>
      <c r="O27" s="10" t="s">
        <v>215</v>
      </c>
    </row>
    <row r="28" customFormat="false" ht="15" hidden="false" customHeight="false" outlineLevel="0" collapsed="false">
      <c r="A28" s="19" t="s">
        <v>216</v>
      </c>
      <c r="B28" s="18" t="n">
        <f aca="false">SUM(B20:B27)</f>
        <v>3152166.66666667</v>
      </c>
      <c r="C28" s="18" t="n">
        <f aca="false">SUM(C20:C27)</f>
        <v>3152166.66666667</v>
      </c>
      <c r="D28" s="18" t="n">
        <f aca="false">SUM(D20:D27)</f>
        <v>3152166.66666667</v>
      </c>
      <c r="E28" s="18" t="n">
        <f aca="false">SUM(E20:E27)</f>
        <v>3152166.66666667</v>
      </c>
      <c r="F28" s="18" t="n">
        <f aca="false">SUM(F20:F27)</f>
        <v>3152166.66666667</v>
      </c>
      <c r="G28" s="18" t="n">
        <f aca="false">SUM(G20:G27)</f>
        <v>3152166.66666667</v>
      </c>
      <c r="H28" s="18" t="n">
        <f aca="false">SUM(H20:H27)</f>
        <v>3152166.66666667</v>
      </c>
      <c r="I28" s="18" t="n">
        <f aca="false">SUM(I20:I27)</f>
        <v>3152166.66666667</v>
      </c>
      <c r="J28" s="18" t="n">
        <f aca="false">SUM(J20:J27)</f>
        <v>3152166.66666667</v>
      </c>
      <c r="K28" s="18" t="n">
        <f aca="false">SUM(K20:K27)</f>
        <v>3152166.66666667</v>
      </c>
      <c r="L28" s="18" t="n">
        <f aca="false">SUM(L20:L27)</f>
        <v>3152166.66666667</v>
      </c>
      <c r="M28" s="18" t="n">
        <f aca="false">SUM(M20:M27)</f>
        <v>3152166.66666667</v>
      </c>
      <c r="N28" s="18" t="n">
        <f aca="false">SUM(B28:M28)</f>
        <v>37826000</v>
      </c>
      <c r="O28" s="10" t="s">
        <v>217</v>
      </c>
    </row>
    <row r="29" customFormat="false" ht="15" hidden="false" customHeight="false" outlineLevel="0" collapsed="false">
      <c r="A29" s="6" t="s">
        <v>218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customFormat="false" ht="15" hidden="false" customHeight="false" outlineLevel="0" collapsed="false">
      <c r="A30" s="4" t="s">
        <v>219</v>
      </c>
      <c r="B30" s="17" t="n">
        <f aca="false">IF(Допущения!$B$39=0,0,B11*Допущения!$B$39/(1+Допущения!$B$39))</f>
        <v>744827.586206897</v>
      </c>
      <c r="C30" s="17" t="n">
        <f aca="false">IF(Допущения!$B$39=0,0,C11*Допущения!$B$39/(1+Допущения!$B$39))</f>
        <v>794482.75862069</v>
      </c>
      <c r="D30" s="17" t="n">
        <f aca="false">IF(Допущения!$B$39=0,0,D11*Допущения!$B$39/(1+Допущения!$B$39))</f>
        <v>943448.275862069</v>
      </c>
      <c r="E30" s="17" t="n">
        <f aca="false">IF(Допущения!$B$39=0,0,E11*Допущения!$B$39/(1+Допущения!$B$39))</f>
        <v>993103.448275862</v>
      </c>
      <c r="F30" s="17" t="n">
        <f aca="false">IF(Допущения!$B$39=0,0,F11*Допущения!$B$39/(1+Допущения!$B$39))</f>
        <v>1042758.62068966</v>
      </c>
      <c r="G30" s="17" t="n">
        <f aca="false">IF(Допущения!$B$39=0,0,G11*Допущения!$B$39/(1+Допущения!$B$39))</f>
        <v>1042758.62068966</v>
      </c>
      <c r="H30" s="17" t="n">
        <f aca="false">IF(Допущения!$B$39=0,0,H11*Допущения!$B$39/(1+Допущения!$B$39))</f>
        <v>993103.448275862</v>
      </c>
      <c r="I30" s="17" t="n">
        <f aca="false">IF(Допущения!$B$39=0,0,I11*Допущения!$B$39/(1+Допущения!$B$39))</f>
        <v>993103.448275862</v>
      </c>
      <c r="J30" s="17" t="n">
        <f aca="false">IF(Допущения!$B$39=0,0,J11*Допущения!$B$39/(1+Допущения!$B$39))</f>
        <v>1092413.79310345</v>
      </c>
      <c r="K30" s="17" t="n">
        <f aca="false">IF(Допущения!$B$39=0,0,K11*Допущения!$B$39/(1+Допущения!$B$39))</f>
        <v>1092413.79310345</v>
      </c>
      <c r="L30" s="17" t="n">
        <f aca="false">IF(Допущения!$B$39=0,0,L11*Допущения!$B$39/(1+Допущения!$B$39))</f>
        <v>1042758.62068966</v>
      </c>
      <c r="M30" s="17" t="n">
        <f aca="false">IF(Допущения!$B$39=0,0,M11*Допущения!$B$39/(1+Допущения!$B$39))</f>
        <v>1042758.62068966</v>
      </c>
      <c r="N30" s="18" t="n">
        <f aca="false">SUM(B30:M30)</f>
        <v>11817931.0344828</v>
      </c>
      <c r="O30" s="10" t="s">
        <v>220</v>
      </c>
    </row>
    <row r="31" customFormat="false" ht="15" hidden="false" customHeight="false" outlineLevel="0" collapsed="false">
      <c r="A31" s="4" t="s">
        <v>221</v>
      </c>
      <c r="B31" s="17" t="n">
        <f aca="false">IF(Допущения!$B$39=0,0,(B13+B14+B20+B23+B24+B25+B26)*Допущения!$B$39/(1+Допущения!$B$39))</f>
        <v>335586.206896552</v>
      </c>
      <c r="C31" s="17" t="n">
        <f aca="false">IF(Допущения!$B$39=0,0,(C13+C14+C20+C23+C24+C25+C26)*Допущения!$B$39/(1+Допущения!$B$39))</f>
        <v>347751.724137931</v>
      </c>
      <c r="D31" s="17" t="n">
        <f aca="false">IF(Допущения!$B$39=0,0,(D13+D14+D20+D23+D24+D25+D26)*Допущения!$B$39/(1+Допущения!$B$39))</f>
        <v>384248.275862069</v>
      </c>
      <c r="E31" s="17" t="n">
        <f aca="false">IF(Допущения!$B$39=0,0,(E13+E14+E20+E23+E24+E25+E26)*Допущения!$B$39/(1+Допущения!$B$39))</f>
        <v>396413.793103448</v>
      </c>
      <c r="F31" s="17" t="n">
        <f aca="false">IF(Допущения!$B$39=0,0,(F13+F14+F20+F23+F24+F25+F26)*Допущения!$B$39/(1+Допущения!$B$39))</f>
        <v>408579.310344828</v>
      </c>
      <c r="G31" s="17" t="n">
        <f aca="false">IF(Допущения!$B$39=0,0,(G13+G14+G20+G23+G24+G25+G26)*Допущения!$B$39/(1+Допущения!$B$39))</f>
        <v>408579.310344828</v>
      </c>
      <c r="H31" s="17" t="n">
        <f aca="false">IF(Допущения!$B$39=0,0,(H13+H14+H20+H23+H24+H25+H26)*Допущения!$B$39/(1+Допущения!$B$39))</f>
        <v>396413.793103448</v>
      </c>
      <c r="I31" s="17" t="n">
        <f aca="false">IF(Допущения!$B$39=0,0,(I13+I14+I20+I23+I24+I25+I26)*Допущения!$B$39/(1+Допущения!$B$39))</f>
        <v>396413.793103448</v>
      </c>
      <c r="J31" s="17" t="n">
        <f aca="false">IF(Допущения!$B$39=0,0,(J13+J14+J20+J23+J24+J25+J26)*Допущения!$B$39/(1+Допущения!$B$39))</f>
        <v>420744.827586207</v>
      </c>
      <c r="K31" s="17" t="n">
        <f aca="false">IF(Допущения!$B$39=0,0,(K13+K14+K20+K23+K24+K25+K26)*Допущения!$B$39/(1+Допущения!$B$39))</f>
        <v>420744.827586207</v>
      </c>
      <c r="L31" s="17" t="n">
        <f aca="false">IF(Допущения!$B$39=0,0,(L13+L14+L20+L23+L24+L25+L26)*Допущения!$B$39/(1+Допущения!$B$39))</f>
        <v>408579.310344828</v>
      </c>
      <c r="M31" s="17" t="n">
        <f aca="false">IF(Допущения!$B$39=0,0,(M13+M14+M20+M23+M24+M25+M26)*Допущения!$B$39/(1+Допущения!$B$39))</f>
        <v>408579.310344828</v>
      </c>
      <c r="N31" s="18" t="n">
        <f aca="false">SUM(B31:M31)</f>
        <v>4732634.48275862</v>
      </c>
      <c r="O31" s="10" t="s">
        <v>222</v>
      </c>
    </row>
    <row r="32" customFormat="false" ht="15" hidden="false" customHeight="false" outlineLevel="0" collapsed="false">
      <c r="A32" s="19" t="s">
        <v>223</v>
      </c>
      <c r="B32" s="20" t="n">
        <f aca="false">MAX(0,B30-B31)</f>
        <v>409241.379310345</v>
      </c>
      <c r="C32" s="20" t="n">
        <f aca="false">MAX(0,C30-C31)</f>
        <v>446731.034482759</v>
      </c>
      <c r="D32" s="20" t="n">
        <f aca="false">MAX(0,D30-D31)</f>
        <v>559200</v>
      </c>
      <c r="E32" s="20" t="n">
        <f aca="false">MAX(0,E30-E31)</f>
        <v>596689.655172414</v>
      </c>
      <c r="F32" s="20" t="n">
        <f aca="false">MAX(0,F30-F31)</f>
        <v>634179.310344828</v>
      </c>
      <c r="G32" s="20" t="n">
        <f aca="false">MAX(0,G30-G31)</f>
        <v>634179.310344828</v>
      </c>
      <c r="H32" s="20" t="n">
        <f aca="false">MAX(0,H30-H31)</f>
        <v>596689.655172414</v>
      </c>
      <c r="I32" s="20" t="n">
        <f aca="false">MAX(0,I30-I31)</f>
        <v>596689.655172414</v>
      </c>
      <c r="J32" s="20" t="n">
        <f aca="false">MAX(0,J30-J31)</f>
        <v>671668.965517242</v>
      </c>
      <c r="K32" s="20" t="n">
        <f aca="false">MAX(0,K30-K31)</f>
        <v>671668.965517242</v>
      </c>
      <c r="L32" s="20" t="n">
        <f aca="false">MAX(0,L30-L31)</f>
        <v>634179.310344828</v>
      </c>
      <c r="M32" s="20" t="n">
        <f aca="false">MAX(0,M30-M31)</f>
        <v>634179.310344828</v>
      </c>
      <c r="N32" s="18" t="n">
        <f aca="false">SUM(B32:M32)</f>
        <v>7085296.55172414</v>
      </c>
      <c r="O32" s="10" t="s">
        <v>224</v>
      </c>
    </row>
    <row r="33" customFormat="false" ht="15" hidden="false" customHeight="false" outlineLevel="0" collapsed="false">
      <c r="A33" s="19" t="s">
        <v>225</v>
      </c>
      <c r="B33" s="20" t="n">
        <f aca="false">B18-B28-B32</f>
        <v>280691.954022989</v>
      </c>
      <c r="C33" s="20" t="n">
        <f aca="false">C18-C28-C32</f>
        <v>499342.298850575</v>
      </c>
      <c r="D33" s="20" t="n">
        <f aca="false">D18-D28-D32</f>
        <v>1155293.33333333</v>
      </c>
      <c r="E33" s="20" t="n">
        <f aca="false">E18-E28-E32</f>
        <v>1373943.67816092</v>
      </c>
      <c r="F33" s="20" t="n">
        <f aca="false">F18-F28-F32</f>
        <v>1592594.02298851</v>
      </c>
      <c r="G33" s="20" t="n">
        <f aca="false">G18-G28-G32</f>
        <v>1592594.02298851</v>
      </c>
      <c r="H33" s="20" t="n">
        <f aca="false">H18-H28-H32</f>
        <v>1373943.67816092</v>
      </c>
      <c r="I33" s="20" t="n">
        <f aca="false">I18-I28-I32</f>
        <v>1373943.67816092</v>
      </c>
      <c r="J33" s="20" t="n">
        <f aca="false">J18-J28-J32</f>
        <v>1811244.36781609</v>
      </c>
      <c r="K33" s="20" t="n">
        <f aca="false">K18-K28-K32</f>
        <v>1811244.36781609</v>
      </c>
      <c r="L33" s="20" t="n">
        <f aca="false">L18-L28-L32</f>
        <v>1592594.02298851</v>
      </c>
      <c r="M33" s="20" t="n">
        <f aca="false">M18-M28-M32</f>
        <v>1592594.02298851</v>
      </c>
      <c r="N33" s="18" t="n">
        <f aca="false">SUM(B33:M33)</f>
        <v>16050023.4482759</v>
      </c>
      <c r="O33" s="10" t="s">
        <v>226</v>
      </c>
    </row>
    <row r="34" customFormat="false" ht="15" hidden="false" customHeight="false" outlineLevel="0" collapsed="false">
      <c r="A34" s="4" t="s">
        <v>227</v>
      </c>
      <c r="B34" s="17" t="n">
        <f aca="false">MAX(0,B33*Допущения!$B$41)</f>
        <v>56138.3908045977</v>
      </c>
      <c r="C34" s="17" t="n">
        <f aca="false">MAX(0,C33*Допущения!$B$41)</f>
        <v>99868.459770115</v>
      </c>
      <c r="D34" s="17" t="n">
        <f aca="false">MAX(0,D33*Допущения!$B$41)</f>
        <v>231058.666666667</v>
      </c>
      <c r="E34" s="17" t="n">
        <f aca="false">MAX(0,E33*Допущения!$B$41)</f>
        <v>274788.735632184</v>
      </c>
      <c r="F34" s="17" t="n">
        <f aca="false">MAX(0,F33*Допущения!$B$41)</f>
        <v>318518.804597701</v>
      </c>
      <c r="G34" s="17" t="n">
        <f aca="false">MAX(0,G33*Допущения!$B$41)</f>
        <v>318518.804597701</v>
      </c>
      <c r="H34" s="17" t="n">
        <f aca="false">MAX(0,H33*Допущения!$B$41)</f>
        <v>274788.735632184</v>
      </c>
      <c r="I34" s="17" t="n">
        <f aca="false">MAX(0,I33*Допущения!$B$41)</f>
        <v>274788.735632184</v>
      </c>
      <c r="J34" s="17" t="n">
        <f aca="false">MAX(0,J33*Допущения!$B$41)</f>
        <v>362248.873563218</v>
      </c>
      <c r="K34" s="17" t="n">
        <f aca="false">MAX(0,K33*Допущения!$B$41)</f>
        <v>362248.873563218</v>
      </c>
      <c r="L34" s="17" t="n">
        <f aca="false">MAX(0,L33*Допущения!$B$41)</f>
        <v>318518.804597701</v>
      </c>
      <c r="M34" s="17" t="n">
        <f aca="false">MAX(0,M33*Допущения!$B$41)</f>
        <v>318518.804597701</v>
      </c>
      <c r="N34" s="18" t="n">
        <f aca="false">SUM(B34:M34)</f>
        <v>3210004.68965517</v>
      </c>
      <c r="O34" s="10" t="s">
        <v>228</v>
      </c>
    </row>
    <row r="35" customFormat="false" ht="15" hidden="false" customHeight="false" outlineLevel="0" collapsed="false">
      <c r="A35" s="6" t="s">
        <v>229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customFormat="false" ht="15" hidden="false" customHeight="false" outlineLevel="0" collapsed="false">
      <c r="A36" s="19" t="s">
        <v>230</v>
      </c>
      <c r="B36" s="18" t="n">
        <f aca="false">B33-B34</f>
        <v>224553.563218391</v>
      </c>
      <c r="C36" s="18" t="n">
        <f aca="false">C33-C34</f>
        <v>399473.83908046</v>
      </c>
      <c r="D36" s="18" t="n">
        <f aca="false">D33-D34</f>
        <v>924234.666666667</v>
      </c>
      <c r="E36" s="18" t="n">
        <f aca="false">E33-E34</f>
        <v>1099154.94252874</v>
      </c>
      <c r="F36" s="18" t="n">
        <f aca="false">F33-F34</f>
        <v>1274075.2183908</v>
      </c>
      <c r="G36" s="18" t="n">
        <f aca="false">G33-G34</f>
        <v>1274075.2183908</v>
      </c>
      <c r="H36" s="18" t="n">
        <f aca="false">H33-H34</f>
        <v>1099154.94252874</v>
      </c>
      <c r="I36" s="18" t="n">
        <f aca="false">I33-I34</f>
        <v>1099154.94252874</v>
      </c>
      <c r="J36" s="18" t="n">
        <f aca="false">J33-J34</f>
        <v>1448995.49425287</v>
      </c>
      <c r="K36" s="18" t="n">
        <f aca="false">K33-K34</f>
        <v>1448995.49425287</v>
      </c>
      <c r="L36" s="18" t="n">
        <f aca="false">L33-L34</f>
        <v>1274075.2183908</v>
      </c>
      <c r="M36" s="18" t="n">
        <f aca="false">M33-M34</f>
        <v>1274075.2183908</v>
      </c>
      <c r="N36" s="18" t="n">
        <f aca="false">SUM(B36:M36)</f>
        <v>12840018.7586207</v>
      </c>
      <c r="O36" s="10" t="s">
        <v>231</v>
      </c>
    </row>
    <row r="37" customFormat="false" ht="15" hidden="false" customHeight="false" outlineLevel="0" collapsed="false">
      <c r="A37" s="4" t="s">
        <v>232</v>
      </c>
      <c r="B37" s="21" t="n">
        <f aca="false">IF(B11=0,0,B36/B11)</f>
        <v>0.0415839931885909</v>
      </c>
      <c r="C37" s="21" t="n">
        <f aca="false">IF(C11=0,0,C36/C11)</f>
        <v>0.0693530970625798</v>
      </c>
      <c r="D37" s="21" t="n">
        <f aca="false">IF(D11=0,0,D36/D11)</f>
        <v>0.135122027290448</v>
      </c>
      <c r="E37" s="21" t="n">
        <f aca="false">IF(E11=0,0,E36/E11)</f>
        <v>0.152660408684547</v>
      </c>
      <c r="F37" s="21" t="n">
        <f aca="false">IF(F11=0,0,F36/F11)</f>
        <v>0.168528468041112</v>
      </c>
      <c r="G37" s="21" t="n">
        <f aca="false">IF(G11=0,0,G36/G11)</f>
        <v>0.168528468041112</v>
      </c>
      <c r="H37" s="21" t="n">
        <f aca="false">IF(H11=0,0,H36/H11)</f>
        <v>0.152660408684547</v>
      </c>
      <c r="I37" s="21" t="n">
        <f aca="false">IF(I11=0,0,I36/I11)</f>
        <v>0.152660408684547</v>
      </c>
      <c r="J37" s="21" t="n">
        <f aca="false">IF(J11=0,0,J36/J11)</f>
        <v>0.18295397654708</v>
      </c>
      <c r="K37" s="21" t="n">
        <f aca="false">IF(K11=0,0,K36/K11)</f>
        <v>0.18295397654708</v>
      </c>
      <c r="L37" s="21" t="n">
        <f aca="false">IF(L11=0,0,L36/L11)</f>
        <v>0.168528468041112</v>
      </c>
      <c r="M37" s="21" t="n">
        <f aca="false">IF(M11=0,0,M36/M11)</f>
        <v>0.168528468041112</v>
      </c>
      <c r="N37" s="22" t="n">
        <f aca="false">AVERAGE(B37:M37)</f>
        <v>0.145338514071156</v>
      </c>
      <c r="O37" s="10" t="s">
        <v>233</v>
      </c>
    </row>
    <row r="38" customFormat="false" ht="15" hidden="false" customHeight="false" outlineLevel="0" collapsed="false">
      <c r="A38" s="19" t="s">
        <v>234</v>
      </c>
      <c r="B38" s="20" t="n">
        <f aca="false">B36+B27</f>
        <v>442720.229885058</v>
      </c>
      <c r="C38" s="20" t="n">
        <f aca="false">C36+C27</f>
        <v>617640.505747127</v>
      </c>
      <c r="D38" s="20" t="n">
        <f aca="false">D36+D27</f>
        <v>1142401.33333333</v>
      </c>
      <c r="E38" s="20" t="n">
        <f aca="false">E36+E27</f>
        <v>1317321.6091954</v>
      </c>
      <c r="F38" s="20" t="n">
        <f aca="false">F36+F27</f>
        <v>1492241.88505747</v>
      </c>
      <c r="G38" s="20" t="n">
        <f aca="false">G36+G27</f>
        <v>1492241.88505747</v>
      </c>
      <c r="H38" s="20" t="n">
        <f aca="false">H36+H27</f>
        <v>1317321.6091954</v>
      </c>
      <c r="I38" s="20" t="n">
        <f aca="false">I36+I27</f>
        <v>1317321.6091954</v>
      </c>
      <c r="J38" s="20" t="n">
        <f aca="false">J36+J27</f>
        <v>1667162.16091954</v>
      </c>
      <c r="K38" s="20" t="n">
        <f aca="false">K36+K27</f>
        <v>1667162.16091954</v>
      </c>
      <c r="L38" s="20" t="n">
        <f aca="false">L36+L27</f>
        <v>1492241.88505747</v>
      </c>
      <c r="M38" s="20" t="n">
        <f aca="false">M36+M27</f>
        <v>1492241.88505747</v>
      </c>
      <c r="N38" s="18" t="n">
        <f aca="false">SUM(B38:M38)</f>
        <v>15458018.7586207</v>
      </c>
      <c r="O38" s="10" t="s">
        <v>235</v>
      </c>
    </row>
    <row r="39" customFormat="false" ht="15" hidden="false" customHeight="false" outlineLevel="0" collapsed="false">
      <c r="A39" s="19" t="s">
        <v>236</v>
      </c>
      <c r="B39" s="20" t="n">
        <f aca="false">-Безубыток!$B$10+B38</f>
        <v>-18107279.7701149</v>
      </c>
      <c r="C39" s="20" t="n">
        <f aca="false">B39+C38</f>
        <v>-17489639.2643678</v>
      </c>
      <c r="D39" s="20" t="n">
        <f aca="false">C39+D38</f>
        <v>-16347237.9310345</v>
      </c>
      <c r="E39" s="20" t="n">
        <f aca="false">D39+E38</f>
        <v>-15029916.3218391</v>
      </c>
      <c r="F39" s="20" t="n">
        <f aca="false">E39+F38</f>
        <v>-13537674.4367816</v>
      </c>
      <c r="G39" s="20" t="n">
        <f aca="false">F39+G38</f>
        <v>-12045432.5517241</v>
      </c>
      <c r="H39" s="20" t="n">
        <f aca="false">G39+H38</f>
        <v>-10728110.9425287</v>
      </c>
      <c r="I39" s="20" t="n">
        <f aca="false">H39+I38</f>
        <v>-9410789.33333333</v>
      </c>
      <c r="J39" s="20" t="n">
        <f aca="false">I39+J38</f>
        <v>-7743627.17241379</v>
      </c>
      <c r="K39" s="20" t="n">
        <f aca="false">J39+K38</f>
        <v>-6076465.01149425</v>
      </c>
      <c r="L39" s="20" t="n">
        <f aca="false">K39+L38</f>
        <v>-4584223.12643678</v>
      </c>
      <c r="M39" s="20" t="n">
        <f aca="false">L39+M38</f>
        <v>-3091981.24137931</v>
      </c>
      <c r="O39" s="10" t="s">
        <v>237</v>
      </c>
    </row>
    <row r="41" customFormat="false" ht="15" hidden="false" customHeight="false" outlineLevel="0" collapsed="false">
      <c r="A41" s="19" t="s">
        <v>238</v>
      </c>
      <c r="B41" s="23" t="str">
        <f aca="false">IF(N11&gt;Допущения!$B$40,"Оборот за год превышает порог 43 250 000 ₸ — НДС применяется","Оборот ниже порога регистрации по НДС")</f>
        <v>Оборот за год превышает порог 43 250 000 ₸ — НДС применяется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5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6" min="2" style="0" width="16"/>
    <col collapsed="false" customWidth="true" hidden="false" outlineLevel="0" max="7" min="7" style="0" width="60"/>
  </cols>
  <sheetData>
    <row r="1" customFormat="false" ht="17.35" hidden="false" customHeight="false" outlineLevel="0" collapsed="false">
      <c r="A1" s="1" t="s">
        <v>239</v>
      </c>
    </row>
    <row r="2" customFormat="false" ht="15" hidden="false" customHeight="false" outlineLevel="0" collapsed="false">
      <c r="A2" s="2" t="s">
        <v>240</v>
      </c>
    </row>
    <row r="4" customFormat="false" ht="15" hidden="false" customHeight="false" outlineLevel="0" collapsed="false">
      <c r="A4" s="6" t="s">
        <v>241</v>
      </c>
      <c r="B4" s="7"/>
      <c r="C4" s="7"/>
      <c r="D4" s="7"/>
      <c r="E4" s="7"/>
      <c r="F4" s="7"/>
      <c r="G4" s="7"/>
    </row>
    <row r="5" customFormat="false" ht="15" hidden="false" customHeight="false" outlineLevel="0" collapsed="false">
      <c r="A5" s="4" t="s">
        <v>242</v>
      </c>
      <c r="B5" s="24" t="n">
        <f aca="false">Допущения!$B$5*Допущения!$B$44</f>
        <v>3990000</v>
      </c>
    </row>
    <row r="6" customFormat="false" ht="15" hidden="false" customHeight="false" outlineLevel="0" collapsed="false">
      <c r="A6" s="4" t="s">
        <v>243</v>
      </c>
      <c r="B6" s="24" t="n">
        <f aca="false">B5</f>
        <v>3990000</v>
      </c>
      <c r="G6" s="10" t="s">
        <v>244</v>
      </c>
    </row>
    <row r="7" customFormat="false" ht="15" hidden="false" customHeight="false" outlineLevel="0" collapsed="false">
      <c r="A7" s="4" t="s">
        <v>245</v>
      </c>
      <c r="B7" s="24" t="n">
        <f aca="false">Допущения!$B$45+Допущения!$B$46+Допущения!$B$47+Допущения!$B$48+Допущения!$B$49+Допущения!$B$50+Допущения!$B$51+Допущения!$B$52</f>
        <v>9100000</v>
      </c>
    </row>
    <row r="8" customFormat="false" ht="15" hidden="false" customHeight="false" outlineLevel="0" collapsed="false">
      <c r="A8" s="4" t="s">
        <v>246</v>
      </c>
      <c r="B8" s="24" t="n">
        <f aca="false">Допущения!$B$5*Допущения!$B$6*Допущения!$B$7</f>
        <v>1260000</v>
      </c>
    </row>
    <row r="9" customFormat="false" ht="15" hidden="false" customHeight="false" outlineLevel="0" collapsed="false">
      <c r="A9" s="4" t="s">
        <v>247</v>
      </c>
      <c r="B9" s="24" t="n">
        <f aca="false">Допущения!$B$53+Допущения!$B$54</f>
        <v>4200000</v>
      </c>
    </row>
    <row r="10" customFormat="false" ht="16.15" hidden="false" customHeight="false" outlineLevel="0" collapsed="false">
      <c r="A10" s="19" t="s">
        <v>248</v>
      </c>
      <c r="B10" s="25" t="n">
        <f aca="false">B5+B7+B8+B9</f>
        <v>18550000</v>
      </c>
    </row>
    <row r="12" customFormat="false" ht="15" hidden="false" customHeight="false" outlineLevel="0" collapsed="false">
      <c r="A12" s="6" t="s">
        <v>249</v>
      </c>
      <c r="B12" s="7"/>
      <c r="C12" s="7"/>
      <c r="D12" s="7"/>
      <c r="E12" s="7"/>
      <c r="F12" s="7"/>
      <c r="G12" s="7"/>
    </row>
    <row r="13" customFormat="false" ht="15" hidden="false" customHeight="false" outlineLevel="0" collapsed="false">
      <c r="A13" s="4" t="s">
        <v>206</v>
      </c>
      <c r="B13" s="24" t="n">
        <f aca="false">Допущения!$B$5*Допущения!$B$6</f>
        <v>630000</v>
      </c>
    </row>
    <row r="14" customFormat="false" ht="15" hidden="false" customHeight="false" outlineLevel="0" collapsed="false">
      <c r="A14" s="4" t="s">
        <v>208</v>
      </c>
      <c r="B14" s="24" t="n">
        <f aca="false">Допущения!$B$25*Допущения!$B$26*(1+Допущения!$B$28)</f>
        <v>1344000</v>
      </c>
    </row>
    <row r="15" customFormat="false" ht="15" hidden="false" customHeight="false" outlineLevel="0" collapsed="false">
      <c r="A15" s="4" t="s">
        <v>210</v>
      </c>
      <c r="B15" s="24" t="n">
        <f aca="false">Допущения!$B$27*(1+Допущения!$B$28)</f>
        <v>480000</v>
      </c>
    </row>
    <row r="16" customFormat="false" ht="15" hidden="false" customHeight="false" outlineLevel="0" collapsed="false">
      <c r="A16" s="4" t="s">
        <v>250</v>
      </c>
      <c r="B16" s="24" t="n">
        <f aca="false">Допущения!$B$31+Допущения!$B$32+Допущения!$B$33+Допущения!$B$34</f>
        <v>480000</v>
      </c>
    </row>
    <row r="17" customFormat="false" ht="15" hidden="false" customHeight="false" outlineLevel="0" collapsed="false">
      <c r="A17" s="4" t="s">
        <v>214</v>
      </c>
      <c r="B17" s="24" t="n">
        <f aca="false">(B6+B7)/Допущения!$B$55/12</f>
        <v>218166.666666667</v>
      </c>
    </row>
    <row r="18" customFormat="false" ht="15" hidden="false" customHeight="false" outlineLevel="0" collapsed="false">
      <c r="A18" s="19" t="s">
        <v>216</v>
      </c>
      <c r="B18" s="26" t="n">
        <f aca="false">SUM(B13:B17)</f>
        <v>3152166.66666667</v>
      </c>
    </row>
    <row r="19" customFormat="false" ht="15" hidden="false" customHeight="false" outlineLevel="0" collapsed="false">
      <c r="A19" s="4" t="s">
        <v>251</v>
      </c>
      <c r="B19" s="24" t="n">
        <f aca="false">IF(Допущения!$B$39=0,0,(B13+B16)*Допущения!$B$39/(1+Допущения!$B$39))</f>
        <v>153103.448275862</v>
      </c>
      <c r="G19" s="10" t="s">
        <v>252</v>
      </c>
    </row>
    <row r="20" customFormat="false" ht="15" hidden="false" customHeight="false" outlineLevel="0" collapsed="false">
      <c r="A20" s="19" t="s">
        <v>253</v>
      </c>
      <c r="B20" s="27" t="n">
        <f aca="false">B18-B19</f>
        <v>2999063.2183908</v>
      </c>
    </row>
    <row r="22" customFormat="false" ht="15" hidden="false" customHeight="false" outlineLevel="0" collapsed="false">
      <c r="A22" s="6" t="s">
        <v>254</v>
      </c>
      <c r="B22" s="7"/>
      <c r="C22" s="7"/>
      <c r="D22" s="7"/>
      <c r="E22" s="7"/>
      <c r="F22" s="7"/>
      <c r="G22" s="7"/>
    </row>
    <row r="23" customFormat="false" ht="15" hidden="false" customHeight="false" outlineLevel="0" collapsed="false">
      <c r="A23" s="4" t="s">
        <v>255</v>
      </c>
      <c r="B23" s="24" t="n">
        <f aca="false">Допущения!$B$11</f>
        <v>1200</v>
      </c>
    </row>
    <row r="24" customFormat="false" ht="15" hidden="false" customHeight="false" outlineLevel="0" collapsed="false">
      <c r="A24" s="4" t="s">
        <v>256</v>
      </c>
      <c r="B24" s="24" t="n">
        <f aca="false">Допущения!$B$18+Допущения!$B$19+Допущения!$B$20+Допущения!$B$21</f>
        <v>294</v>
      </c>
    </row>
    <row r="25" customFormat="false" ht="15" hidden="false" customHeight="false" outlineLevel="0" collapsed="false">
      <c r="A25" s="4" t="s">
        <v>257</v>
      </c>
      <c r="B25" s="24" t="n">
        <f aca="false">Допущения!$B$11*Допущения!$B$22</f>
        <v>36</v>
      </c>
    </row>
    <row r="26" customFormat="false" ht="15" hidden="false" customHeight="false" outlineLevel="0" collapsed="false">
      <c r="A26" s="4" t="s">
        <v>258</v>
      </c>
      <c r="B26" s="24" t="n">
        <f aca="false">Допущения!$B$11*Допущения!$B$37*Допущения!$B$38</f>
        <v>16.2</v>
      </c>
    </row>
    <row r="27" customFormat="false" ht="15" hidden="false" customHeight="false" outlineLevel="0" collapsed="false">
      <c r="A27" s="4" t="s">
        <v>259</v>
      </c>
      <c r="B27" s="24" t="n">
        <f aca="false">IF(Допущения!$B$39=0,0,(B23-B24)*Допущения!$B$39/(1+Допущения!$B$39))</f>
        <v>124.965517241379</v>
      </c>
      <c r="G27" s="10" t="s">
        <v>260</v>
      </c>
    </row>
    <row r="28" customFormat="false" ht="16.15" hidden="false" customHeight="false" outlineLevel="0" collapsed="false">
      <c r="A28" s="19" t="s">
        <v>261</v>
      </c>
      <c r="B28" s="25" t="n">
        <f aca="false">B23-B24-B25-B26-B27</f>
        <v>728.834482758621</v>
      </c>
    </row>
    <row r="29" customFormat="false" ht="15" hidden="false" customHeight="false" outlineLevel="0" collapsed="false">
      <c r="A29" s="19" t="s">
        <v>262</v>
      </c>
      <c r="B29" s="28" t="n">
        <f aca="false">IF(B23=0,0,B28/B23)</f>
        <v>0.607362068965517</v>
      </c>
    </row>
    <row r="30" customFormat="false" ht="15" hidden="false" customHeight="false" outlineLevel="0" collapsed="false">
      <c r="A30" s="4" t="s">
        <v>263</v>
      </c>
      <c r="B30" s="29" t="n">
        <f aca="false">IF(B24=0,0,(B23-B24)/B24)</f>
        <v>3.08163265306122</v>
      </c>
      <c r="G30" s="10" t="s">
        <v>264</v>
      </c>
    </row>
    <row r="32" customFormat="false" ht="15" hidden="false" customHeight="false" outlineLevel="0" collapsed="false">
      <c r="A32" s="6" t="s">
        <v>265</v>
      </c>
      <c r="B32" s="7"/>
      <c r="C32" s="7"/>
      <c r="D32" s="7"/>
      <c r="E32" s="7"/>
      <c r="F32" s="7"/>
      <c r="G32" s="7"/>
    </row>
    <row r="33" customFormat="false" ht="15" hidden="false" customHeight="false" outlineLevel="0" collapsed="false">
      <c r="A33" s="19" t="s">
        <v>266</v>
      </c>
      <c r="B33" s="27" t="n">
        <f aca="false">IF(B28&lt;=0,0,ROUNDUP(B20/B28,0))</f>
        <v>4115</v>
      </c>
    </row>
    <row r="34" customFormat="false" ht="16.15" hidden="false" customHeight="false" outlineLevel="0" collapsed="false">
      <c r="A34" s="19" t="s">
        <v>267</v>
      </c>
      <c r="B34" s="25" t="n">
        <f aca="false">IF(B28&lt;=0,0,ROUNDUP(B33/Допущения!$B$12,0))</f>
        <v>138</v>
      </c>
    </row>
    <row r="35" customFormat="false" ht="15" hidden="false" customHeight="false" outlineLevel="0" collapsed="false">
      <c r="A35" s="19" t="s">
        <v>268</v>
      </c>
      <c r="B35" s="27" t="n">
        <f aca="false">ROUNDUP(Допущения!$B$40/12/Допущения!$B$12/Допущения!$B$11,0)</f>
        <v>101</v>
      </c>
      <c r="G35" s="10" t="s">
        <v>269</v>
      </c>
    </row>
    <row r="36" customFormat="false" ht="15" hidden="false" customHeight="false" outlineLevel="0" collapsed="false">
      <c r="A36" s="19" t="s">
        <v>270</v>
      </c>
      <c r="B36" s="28" t="n">
        <f aca="false">IF(Допущения!$B$10=0,0,(Допущения!$B$10-B34)/Допущения!$B$10)</f>
        <v>0.31</v>
      </c>
      <c r="G36" s="10" t="s">
        <v>271</v>
      </c>
    </row>
    <row r="38" customFormat="false" ht="15" hidden="false" customHeight="false" outlineLevel="0" collapsed="false">
      <c r="A38" s="6" t="s">
        <v>272</v>
      </c>
      <c r="B38" s="7"/>
      <c r="C38" s="7"/>
      <c r="D38" s="7"/>
      <c r="E38" s="7"/>
      <c r="F38" s="7"/>
      <c r="G38" s="7"/>
    </row>
    <row r="39" customFormat="false" ht="15" hidden="false" customHeight="false" outlineLevel="0" collapsed="false">
      <c r="A39" s="30" t="s">
        <v>273</v>
      </c>
      <c r="B39" s="31" t="n">
        <f aca="false">ROUND(Допущения!$B$10*0.6,0)</f>
        <v>120</v>
      </c>
      <c r="C39" s="31" t="n">
        <f aca="false">ROUND(Допущения!$B$10*0.8,0)</f>
        <v>160</v>
      </c>
      <c r="D39" s="31" t="n">
        <f aca="false">ROUND(Допущения!$B$10*1,0)</f>
        <v>200</v>
      </c>
      <c r="E39" s="31" t="n">
        <f aca="false">ROUND(Допущения!$B$10*1.2,0)</f>
        <v>240</v>
      </c>
      <c r="F39" s="31" t="n">
        <f aca="false">ROUND(Допущения!$B$10*1.4,0)</f>
        <v>280</v>
      </c>
    </row>
    <row r="40" customFormat="false" ht="15" hidden="false" customHeight="false" outlineLevel="0" collapsed="false">
      <c r="A40" s="32" t="n">
        <v>6000</v>
      </c>
      <c r="B40" s="17" t="n">
        <f aca="false">(B$39*Допущения!$B$12*$B$28-($B$18-$A40*Допущения!$B$5+$A40*Допущения!$B$5-IF(Допущения!$B$39=0,0,($A40*Допущения!$B$5+Допущения!$B$31+Допущения!$B$32+Допущения!$B$33+Допущения!$B$34)*Допущения!$B$39/(1+Допущения!$B$39))-$B$13+$A40*Допущения!$B$5-$B$19+IF(Допущения!$B$39=0,0,($B$13+Допущения!$B$31+Допущения!$B$32+Допущения!$B$33+Допущения!$B$34)*Допущения!$B$39/(1+Допущения!$B$39))))*(1-Допущения!$B$41)</f>
        <v>-155379.67816092</v>
      </c>
      <c r="C40" s="17" t="n">
        <f aca="false">(C$39*Допущения!$B$12*$B$28-($B$18-$A40*Допущения!$B$5+$A40*Допущения!$B$5-IF(Допущения!$B$39=0,0,($A40*Допущения!$B$5+Допущения!$B$31+Допущения!$B$32+Допущения!$B$33+Допущения!$B$34)*Допущения!$B$39/(1+Допущения!$B$39))-$B$13+$A40*Допущения!$B$5-$B$19+IF(Допущения!$B$39=0,0,($B$13+Допущения!$B$31+Допущения!$B$32+Допущения!$B$33+Допущения!$B$34)*Допущения!$B$39/(1+Допущения!$B$39))))*(1-Допущения!$B$41)</f>
        <v>544301.425287356</v>
      </c>
      <c r="D40" s="17" t="n">
        <f aca="false">(D$39*Допущения!$B$12*$B$28-($B$18-$A40*Допущения!$B$5+$A40*Допущения!$B$5-IF(Допущения!$B$39=0,0,($A40*Допущения!$B$5+Допущения!$B$31+Допущения!$B$32+Допущения!$B$33+Допущения!$B$34)*Допущения!$B$39/(1+Допущения!$B$39))-$B$13+$A40*Допущения!$B$5-$B$19+IF(Допущения!$B$39=0,0,($B$13+Допущения!$B$31+Допущения!$B$32+Допущения!$B$33+Допущения!$B$34)*Допущения!$B$39/(1+Допущения!$B$39))))*(1-Допущения!$B$41)</f>
        <v>1243982.52873563</v>
      </c>
      <c r="E40" s="17" t="n">
        <f aca="false">(E$39*Допущения!$B$12*$B$28-($B$18-$A40*Допущения!$B$5+$A40*Допущения!$B$5-IF(Допущения!$B$39=0,0,($A40*Допущения!$B$5+Допущения!$B$31+Допущения!$B$32+Допущения!$B$33+Допущения!$B$34)*Допущения!$B$39/(1+Допущения!$B$39))-$B$13+$A40*Допущения!$B$5-$B$19+IF(Допущения!$B$39=0,0,($B$13+Допущения!$B$31+Допущения!$B$32+Допущения!$B$33+Допущения!$B$34)*Допущения!$B$39/(1+Допущения!$B$39))))*(1-Допущения!$B$41)</f>
        <v>1943663.63218391</v>
      </c>
      <c r="F40" s="17" t="n">
        <f aca="false">(F$39*Допущения!$B$12*$B$28-($B$18-$A40*Допущения!$B$5+$A40*Допущения!$B$5-IF(Допущения!$B$39=0,0,($A40*Допущения!$B$5+Допущения!$B$31+Допущения!$B$32+Допущения!$B$33+Допущения!$B$34)*Допущения!$B$39/(1+Допущения!$B$39))-$B$13+$A40*Допущения!$B$5-$B$19+IF(Допущения!$B$39=0,0,($B$13+Допущения!$B$31+Допущения!$B$32+Допущения!$B$33+Допущения!$B$34)*Допущения!$B$39/(1+Допущения!$B$39))))*(1-Допущения!$B$41)</f>
        <v>2643344.73563218</v>
      </c>
    </row>
    <row r="41" customFormat="false" ht="15" hidden="false" customHeight="false" outlineLevel="0" collapsed="false">
      <c r="A41" s="32" t="n">
        <v>8000</v>
      </c>
      <c r="B41" s="17" t="n">
        <f aca="false">(B$39*Допущения!$B$12*$B$28-($B$18-$A41*Допущения!$B$5+$A41*Допущения!$B$5-IF(Допущения!$B$39=0,0,($A41*Допущения!$B$5+Допущения!$B$31+Допущения!$B$32+Допущения!$B$33+Допущения!$B$34)*Допущения!$B$39/(1+Допущения!$B$39))-$B$13+$A41*Допущения!$B$5-$B$19+IF(Допущения!$B$39=0,0,($B$13+Допущения!$B$31+Допущения!$B$32+Допущения!$B$33+Допущения!$B$34)*Допущения!$B$39/(1+Допущения!$B$39))))*(1-Допущения!$B$41)</f>
        <v>-251931.402298851</v>
      </c>
      <c r="C41" s="17" t="n">
        <f aca="false">(C$39*Допущения!$B$12*$B$28-($B$18-$A41*Допущения!$B$5+$A41*Допущения!$B$5-IF(Допущения!$B$39=0,0,($A41*Допущения!$B$5+Допущения!$B$31+Допущения!$B$32+Допущения!$B$33+Допущения!$B$34)*Допущения!$B$39/(1+Допущения!$B$39))-$B$13+$A41*Допущения!$B$5-$B$19+IF(Допущения!$B$39=0,0,($B$13+Допущения!$B$31+Допущения!$B$32+Допущения!$B$33+Допущения!$B$34)*Допущения!$B$39/(1+Допущения!$B$39))))*(1-Допущения!$B$41)</f>
        <v>447749.701149425</v>
      </c>
      <c r="D41" s="17" t="n">
        <f aca="false">(D$39*Допущения!$B$12*$B$28-($B$18-$A41*Допущения!$B$5+$A41*Допущения!$B$5-IF(Допущения!$B$39=0,0,($A41*Допущения!$B$5+Допущения!$B$31+Допущения!$B$32+Допущения!$B$33+Допущения!$B$34)*Допущения!$B$39/(1+Допущения!$B$39))-$B$13+$A41*Допущения!$B$5-$B$19+IF(Допущения!$B$39=0,0,($B$13+Допущения!$B$31+Допущения!$B$32+Допущения!$B$33+Допущения!$B$34)*Допущения!$B$39/(1+Допущения!$B$39))))*(1-Допущения!$B$41)</f>
        <v>1147430.8045977</v>
      </c>
      <c r="E41" s="17" t="n">
        <f aca="false">(E$39*Допущения!$B$12*$B$28-($B$18-$A41*Допущения!$B$5+$A41*Допущения!$B$5-IF(Допущения!$B$39=0,0,($A41*Допущения!$B$5+Допущения!$B$31+Допущения!$B$32+Допущения!$B$33+Допущения!$B$34)*Допущения!$B$39/(1+Допущения!$B$39))-$B$13+$A41*Допущения!$B$5-$B$19+IF(Допущения!$B$39=0,0,($B$13+Допущения!$B$31+Допущения!$B$32+Допущения!$B$33+Допущения!$B$34)*Допущения!$B$39/(1+Допущения!$B$39))))*(1-Допущения!$B$41)</f>
        <v>1847111.90804598</v>
      </c>
      <c r="F41" s="17" t="n">
        <f aca="false">(F$39*Допущения!$B$12*$B$28-($B$18-$A41*Допущения!$B$5+$A41*Допущения!$B$5-IF(Допущения!$B$39=0,0,($A41*Допущения!$B$5+Допущения!$B$31+Допущения!$B$32+Допущения!$B$33+Допущения!$B$34)*Допущения!$B$39/(1+Допущения!$B$39))-$B$13+$A41*Допущения!$B$5-$B$19+IF(Допущения!$B$39=0,0,($B$13+Допущения!$B$31+Допущения!$B$32+Допущения!$B$33+Допущения!$B$34)*Допущения!$B$39/(1+Допущения!$B$39))))*(1-Допущения!$B$41)</f>
        <v>2546793.01149425</v>
      </c>
    </row>
    <row r="42" customFormat="false" ht="15" hidden="false" customHeight="false" outlineLevel="0" collapsed="false">
      <c r="A42" s="32" t="n">
        <v>9000</v>
      </c>
      <c r="B42" s="17" t="n">
        <f aca="false">(B$39*Допущения!$B$12*$B$28-($B$18-$A42*Допущения!$B$5+$A42*Допущения!$B$5-IF(Допущения!$B$39=0,0,($A42*Допущения!$B$5+Допущения!$B$31+Допущения!$B$32+Допущения!$B$33+Допущения!$B$34)*Допущения!$B$39/(1+Допущения!$B$39))-$B$13+$A42*Допущения!$B$5-$B$19+IF(Допущения!$B$39=0,0,($B$13+Допущения!$B$31+Допущения!$B$32+Допущения!$B$33+Допущения!$B$34)*Допущения!$B$39/(1+Допущения!$B$39))))*(1-Допущения!$B$41)</f>
        <v>-300207.264367816</v>
      </c>
      <c r="C42" s="17" t="n">
        <f aca="false">(C$39*Допущения!$B$12*$B$28-($B$18-$A42*Допущения!$B$5+$A42*Допущения!$B$5-IF(Допущения!$B$39=0,0,($A42*Допущения!$B$5+Допущения!$B$31+Допущения!$B$32+Допущения!$B$33+Допущения!$B$34)*Допущения!$B$39/(1+Допущения!$B$39))-$B$13+$A42*Допущения!$B$5-$B$19+IF(Допущения!$B$39=0,0,($B$13+Допущения!$B$31+Допущения!$B$32+Допущения!$B$33+Допущения!$B$34)*Допущения!$B$39/(1+Допущения!$B$39))))*(1-Допущения!$B$41)</f>
        <v>399473.83908046</v>
      </c>
      <c r="D42" s="17" t="n">
        <f aca="false">(D$39*Допущения!$B$12*$B$28-($B$18-$A42*Допущения!$B$5+$A42*Допущения!$B$5-IF(Допущения!$B$39=0,0,($A42*Допущения!$B$5+Допущения!$B$31+Допущения!$B$32+Допущения!$B$33+Допущения!$B$34)*Допущения!$B$39/(1+Допущения!$B$39))-$B$13+$A42*Допущения!$B$5-$B$19+IF(Допущения!$B$39=0,0,($B$13+Допущения!$B$31+Допущения!$B$32+Допущения!$B$33+Допущения!$B$34)*Допущения!$B$39/(1+Допущения!$B$39))))*(1-Допущения!$B$41)</f>
        <v>1099154.94252874</v>
      </c>
      <c r="E42" s="17" t="n">
        <f aca="false">(E$39*Допущения!$B$12*$B$28-($B$18-$A42*Допущения!$B$5+$A42*Допущения!$B$5-IF(Допущения!$B$39=0,0,($A42*Допущения!$B$5+Допущения!$B$31+Допущения!$B$32+Допущения!$B$33+Допущения!$B$34)*Допущения!$B$39/(1+Допущения!$B$39))-$B$13+$A42*Допущения!$B$5-$B$19+IF(Допущения!$B$39=0,0,($B$13+Допущения!$B$31+Допущения!$B$32+Допущения!$B$33+Допущения!$B$34)*Допущения!$B$39/(1+Допущения!$B$39))))*(1-Допущения!$B$41)</f>
        <v>1798836.04597701</v>
      </c>
      <c r="F42" s="17" t="n">
        <f aca="false">(F$39*Допущения!$B$12*$B$28-($B$18-$A42*Допущения!$B$5+$A42*Допущения!$B$5-IF(Допущения!$B$39=0,0,($A42*Допущения!$B$5+Допущения!$B$31+Допущения!$B$32+Допущения!$B$33+Допущения!$B$34)*Допущения!$B$39/(1+Допущения!$B$39))-$B$13+$A42*Допущения!$B$5-$B$19+IF(Допущения!$B$39=0,0,($B$13+Допущения!$B$31+Допущения!$B$32+Допущения!$B$33+Допущения!$B$34)*Допущения!$B$39/(1+Допущения!$B$39))))*(1-Допущения!$B$41)</f>
        <v>2498517.14942529</v>
      </c>
    </row>
    <row r="43" customFormat="false" ht="15" hidden="false" customHeight="false" outlineLevel="0" collapsed="false">
      <c r="A43" s="32" t="n">
        <v>11000</v>
      </c>
      <c r="B43" s="17" t="n">
        <f aca="false">(B$39*Допущения!$B$12*$B$28-($B$18-$A43*Допущения!$B$5+$A43*Допущения!$B$5-IF(Допущения!$B$39=0,0,($A43*Допущения!$B$5+Допущения!$B$31+Допущения!$B$32+Допущения!$B$33+Допущения!$B$34)*Допущения!$B$39/(1+Допущения!$B$39))-$B$13+$A43*Допущения!$B$5-$B$19+IF(Допущения!$B$39=0,0,($B$13+Допущения!$B$31+Допущения!$B$32+Допущения!$B$33+Допущения!$B$34)*Допущения!$B$39/(1+Допущения!$B$39))))*(1-Допущения!$B$41)</f>
        <v>-396758.988505747</v>
      </c>
      <c r="C43" s="17" t="n">
        <f aca="false">(C$39*Допущения!$B$12*$B$28-($B$18-$A43*Допущения!$B$5+$A43*Допущения!$B$5-IF(Допущения!$B$39=0,0,($A43*Допущения!$B$5+Допущения!$B$31+Допущения!$B$32+Допущения!$B$33+Допущения!$B$34)*Допущения!$B$39/(1+Допущения!$B$39))-$B$13+$A43*Допущения!$B$5-$B$19+IF(Допущения!$B$39=0,0,($B$13+Допущения!$B$31+Допущения!$B$32+Допущения!$B$33+Допущения!$B$34)*Допущения!$B$39/(1+Допущения!$B$39))))*(1-Допущения!$B$41)</f>
        <v>302922.114942529</v>
      </c>
      <c r="D43" s="17" t="n">
        <f aca="false">(D$39*Допущения!$B$12*$B$28-($B$18-$A43*Допущения!$B$5+$A43*Допущения!$B$5-IF(Допущения!$B$39=0,0,($A43*Допущения!$B$5+Допущения!$B$31+Допущения!$B$32+Допущения!$B$33+Допущения!$B$34)*Допущения!$B$39/(1+Допущения!$B$39))-$B$13+$A43*Допущения!$B$5-$B$19+IF(Допущения!$B$39=0,0,($B$13+Допущения!$B$31+Допущения!$B$32+Допущения!$B$33+Допущения!$B$34)*Допущения!$B$39/(1+Допущения!$B$39))))*(1-Допущения!$B$41)</f>
        <v>1002603.2183908</v>
      </c>
      <c r="E43" s="17" t="n">
        <f aca="false">(E$39*Допущения!$B$12*$B$28-($B$18-$A43*Допущения!$B$5+$A43*Допущения!$B$5-IF(Допущения!$B$39=0,0,($A43*Допущения!$B$5+Допущения!$B$31+Допущения!$B$32+Допущения!$B$33+Допущения!$B$34)*Допущения!$B$39/(1+Допущения!$B$39))-$B$13+$A43*Допущения!$B$5-$B$19+IF(Допущения!$B$39=0,0,($B$13+Допущения!$B$31+Допущения!$B$32+Допущения!$B$33+Допущения!$B$34)*Допущения!$B$39/(1+Допущения!$B$39))))*(1-Допущения!$B$41)</f>
        <v>1702284.32183908</v>
      </c>
      <c r="F43" s="17" t="n">
        <f aca="false">(F$39*Допущения!$B$12*$B$28-($B$18-$A43*Допущения!$B$5+$A43*Допущения!$B$5-IF(Допущения!$B$39=0,0,($A43*Допущения!$B$5+Допущения!$B$31+Допущения!$B$32+Допущения!$B$33+Допущения!$B$34)*Допущения!$B$39/(1+Допущения!$B$39))-$B$13+$A43*Допущения!$B$5-$B$19+IF(Допущения!$B$39=0,0,($B$13+Допущения!$B$31+Допущения!$B$32+Допущения!$B$33+Допущения!$B$34)*Допущения!$B$39/(1+Допущения!$B$39))))*(1-Допущения!$B$41)</f>
        <v>2401965.42528736</v>
      </c>
    </row>
    <row r="44" customFormat="false" ht="15" hidden="false" customHeight="false" outlineLevel="0" collapsed="false">
      <c r="A44" s="32" t="n">
        <v>12000</v>
      </c>
      <c r="B44" s="17" t="n">
        <f aca="false">(B$39*Допущения!$B$12*$B$28-($B$18-$A44*Допущения!$B$5+$A44*Допущения!$B$5-IF(Допущения!$B$39=0,0,($A44*Допущения!$B$5+Допущения!$B$31+Допущения!$B$32+Допущения!$B$33+Допущения!$B$34)*Допущения!$B$39/(1+Допущения!$B$39))-$B$13+$A44*Допущения!$B$5-$B$19+IF(Допущения!$B$39=0,0,($B$13+Допущения!$B$31+Допущения!$B$32+Допущения!$B$33+Допущения!$B$34)*Допущения!$B$39/(1+Допущения!$B$39))))*(1-Допущения!$B$41)</f>
        <v>-445034.850574713</v>
      </c>
      <c r="C44" s="17" t="n">
        <f aca="false">(C$39*Допущения!$B$12*$B$28-($B$18-$A44*Допущения!$B$5+$A44*Допущения!$B$5-IF(Допущения!$B$39=0,0,($A44*Допущения!$B$5+Допущения!$B$31+Допущения!$B$32+Допущения!$B$33+Допущения!$B$34)*Допущения!$B$39/(1+Допущения!$B$39))-$B$13+$A44*Допущения!$B$5-$B$19+IF(Допущения!$B$39=0,0,($B$13+Допущения!$B$31+Допущения!$B$32+Допущения!$B$33+Допущения!$B$34)*Допущения!$B$39/(1+Допущения!$B$39))))*(1-Допущения!$B$41)</f>
        <v>254646.252873563</v>
      </c>
      <c r="D44" s="17" t="n">
        <f aca="false">(D$39*Допущения!$B$12*$B$28-($B$18-$A44*Допущения!$B$5+$A44*Допущения!$B$5-IF(Допущения!$B$39=0,0,($A44*Допущения!$B$5+Допущения!$B$31+Допущения!$B$32+Допущения!$B$33+Допущения!$B$34)*Допущения!$B$39/(1+Допущения!$B$39))-$B$13+$A44*Допущения!$B$5-$B$19+IF(Допущения!$B$39=0,0,($B$13+Допущения!$B$31+Допущения!$B$32+Допущения!$B$33+Допущения!$B$34)*Допущения!$B$39/(1+Допущения!$B$39))))*(1-Допущения!$B$41)</f>
        <v>954327.356321839</v>
      </c>
      <c r="E44" s="17" t="n">
        <f aca="false">(E$39*Допущения!$B$12*$B$28-($B$18-$A44*Допущения!$B$5+$A44*Допущения!$B$5-IF(Допущения!$B$39=0,0,($A44*Допущения!$B$5+Допущения!$B$31+Допущения!$B$32+Допущения!$B$33+Допущения!$B$34)*Допущения!$B$39/(1+Допущения!$B$39))-$B$13+$A44*Допущения!$B$5-$B$19+IF(Допущения!$B$39=0,0,($B$13+Допущения!$B$31+Допущения!$B$32+Допущения!$B$33+Допущения!$B$34)*Допущения!$B$39/(1+Допущения!$B$39))))*(1-Допущения!$B$41)</f>
        <v>1654008.45977012</v>
      </c>
      <c r="F44" s="17" t="n">
        <f aca="false">(F$39*Допущения!$B$12*$B$28-($B$18-$A44*Допущения!$B$5+$A44*Допущения!$B$5-IF(Допущения!$B$39=0,0,($A44*Допущения!$B$5+Допущения!$B$31+Допущения!$B$32+Допущения!$B$33+Допущения!$B$34)*Допущения!$B$39/(1+Допущения!$B$39))-$B$13+$A44*Допущения!$B$5-$B$19+IF(Допущения!$B$39=0,0,($B$13+Допущения!$B$31+Допущения!$B$32+Допущения!$B$33+Допущения!$B$34)*Допущения!$B$39/(1+Допущения!$B$39))))*(1-Допущения!$B$41)</f>
        <v>2353689.56321839</v>
      </c>
    </row>
    <row r="45" customFormat="false" ht="15" hidden="false" customHeight="false" outlineLevel="0" collapsed="false">
      <c r="A45" s="10" t="s">
        <v>274</v>
      </c>
    </row>
    <row r="47" customFormat="false" ht="15" hidden="false" customHeight="false" outlineLevel="0" collapsed="false">
      <c r="A47" s="6" t="s">
        <v>275</v>
      </c>
      <c r="B47" s="7"/>
      <c r="C47" s="7"/>
      <c r="D47" s="7"/>
      <c r="E47" s="7"/>
      <c r="F47" s="7"/>
      <c r="G47" s="7"/>
    </row>
    <row r="48" customFormat="false" ht="15" hidden="false" customHeight="false" outlineLevel="0" collapsed="false">
      <c r="A48" s="19" t="s">
        <v>276</v>
      </c>
      <c r="B48" s="26" t="n">
        <f aca="false">Модель!$N$36/12</f>
        <v>1070001.56321839</v>
      </c>
      <c r="G48" s="10" t="s">
        <v>277</v>
      </c>
    </row>
    <row r="49" customFormat="false" ht="15" hidden="false" customHeight="false" outlineLevel="0" collapsed="false">
      <c r="A49" s="4" t="s">
        <v>278</v>
      </c>
      <c r="B49" s="24" t="n">
        <f aca="false">B48+10*Допущения!$B$12*B28*(1-Допущения!$B$41)</f>
        <v>1244921.83908046</v>
      </c>
      <c r="G49" s="10" t="s">
        <v>279</v>
      </c>
    </row>
    <row r="50" customFormat="false" ht="15" hidden="false" customHeight="false" outlineLevel="0" collapsed="false">
      <c r="A50" s="4" t="s">
        <v>280</v>
      </c>
      <c r="B50" s="24" t="n">
        <f aca="false">B48+Допущения!$B$10*Допущения!$B$12*0.25*(Допущения!$B$14-Допущения!$B$15)*(1-Допущения!$B$39/(1+Допущения!$B$39))*(1-Допущения!$B$41)</f>
        <v>1483794.66666667</v>
      </c>
      <c r="G50" s="10" t="s">
        <v>281</v>
      </c>
    </row>
    <row r="51" customFormat="false" ht="15" hidden="false" customHeight="false" outlineLevel="0" collapsed="false">
      <c r="A51" s="4" t="s">
        <v>282</v>
      </c>
      <c r="B51" s="24" t="n">
        <f aca="false">B48+2000*Допущения!$B$5*(1-Допущения!$B$39/(1+Допущения!$B$39))*(1-Допущения!$B$41)</f>
        <v>1166553.28735632</v>
      </c>
      <c r="G51" s="10" t="s">
        <v>283</v>
      </c>
    </row>
    <row r="52" customFormat="false" ht="15" hidden="false" customHeight="false" outlineLevel="0" collapsed="false">
      <c r="A52" s="4" t="s">
        <v>284</v>
      </c>
      <c r="B52" s="24" t="n">
        <f aca="false">B48+Допущения!$B$27*(1+Допущения!$B$28)*(1-Допущения!$B$41)</f>
        <v>1454001.56321839</v>
      </c>
      <c r="G52" s="10" t="s">
        <v>285</v>
      </c>
    </row>
    <row r="54" customFormat="false" ht="15" hidden="false" customHeight="false" outlineLevel="0" collapsed="false">
      <c r="A54" s="10" t="s">
        <v>286</v>
      </c>
    </row>
    <row r="55" customFormat="false" ht="15" hidden="false" customHeight="false" outlineLevel="0" collapsed="false">
      <c r="A55" s="10" t="s">
        <v>287</v>
      </c>
    </row>
  </sheetData>
  <conditionalFormatting sqref="B40:F44">
    <cfRule type="cellIs" priority="2" operator="lessThan" aboveAverage="0" equalAverage="0" bottom="0" percent="0" rank="0" text="" dxfId="0">
      <formula>0</formula>
    </cfRule>
    <cfRule type="cellIs" priority="3" operator="greaterThanOrEqual" aboveAverage="0" equalAverage="0" bottom="0" percent="0" rank="0" text="" dxfId="1">
      <formula>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3" min="2" style="0" width="18"/>
    <col collapsed="false" customWidth="true" hidden="false" outlineLevel="0" max="4" min="4" style="0" width="60"/>
  </cols>
  <sheetData>
    <row r="1" customFormat="false" ht="17.35" hidden="false" customHeight="false" outlineLevel="0" collapsed="false">
      <c r="A1" s="1" t="s">
        <v>288</v>
      </c>
    </row>
    <row r="2" customFormat="false" ht="15" hidden="false" customHeight="false" outlineLevel="0" collapsed="false">
      <c r="A2" s="2" t="s">
        <v>289</v>
      </c>
    </row>
    <row r="3" customFormat="false" ht="15" hidden="false" customHeight="false" outlineLevel="0" collapsed="false">
      <c r="A3" s="13" t="s">
        <v>38</v>
      </c>
      <c r="B3" s="13" t="s">
        <v>290</v>
      </c>
      <c r="C3" s="13" t="s">
        <v>291</v>
      </c>
      <c r="D3" s="13" t="s">
        <v>292</v>
      </c>
    </row>
    <row r="4" customFormat="false" ht="15" hidden="false" customHeight="false" outlineLevel="0" collapsed="false">
      <c r="A4" s="6" t="s">
        <v>293</v>
      </c>
      <c r="B4" s="7"/>
      <c r="C4" s="7"/>
      <c r="D4" s="7"/>
    </row>
    <row r="5" customFormat="false" ht="15" hidden="false" customHeight="false" outlineLevel="0" collapsed="false">
      <c r="A5" s="4" t="s">
        <v>294</v>
      </c>
      <c r="B5" s="24" t="n">
        <f aca="false">Модель!N6</f>
        <v>71400</v>
      </c>
      <c r="C5" s="24" t="n">
        <f aca="false">B5/12</f>
        <v>5950</v>
      </c>
      <c r="D5" s="10" t="s">
        <v>295</v>
      </c>
    </row>
    <row r="6" customFormat="false" ht="15" hidden="false" customHeight="false" outlineLevel="0" collapsed="false">
      <c r="A6" s="19" t="s">
        <v>296</v>
      </c>
      <c r="B6" s="26" t="n">
        <f aca="false">Модель!N11</f>
        <v>85680000</v>
      </c>
      <c r="C6" s="24" t="n">
        <f aca="false">B6/12</f>
        <v>7140000</v>
      </c>
      <c r="D6" s="10" t="s">
        <v>297</v>
      </c>
    </row>
    <row r="7" customFormat="false" ht="15" hidden="false" customHeight="false" outlineLevel="0" collapsed="false">
      <c r="A7" s="6" t="s">
        <v>298</v>
      </c>
      <c r="B7" s="7"/>
      <c r="C7" s="7"/>
      <c r="D7" s="7"/>
    </row>
    <row r="8" customFormat="false" ht="15" hidden="false" customHeight="false" outlineLevel="0" collapsed="false">
      <c r="A8" s="4" t="s">
        <v>299</v>
      </c>
      <c r="B8" s="24" t="n">
        <f aca="false">Модель!N17</f>
        <v>24718680</v>
      </c>
      <c r="C8" s="24" t="n">
        <f aca="false">B8/12</f>
        <v>2059890</v>
      </c>
      <c r="D8" s="10" t="s">
        <v>300</v>
      </c>
    </row>
    <row r="9" customFormat="false" ht="15" hidden="false" customHeight="false" outlineLevel="0" collapsed="false">
      <c r="A9" s="4" t="s">
        <v>301</v>
      </c>
      <c r="B9" s="24" t="n">
        <f aca="false">Модель!N28</f>
        <v>37826000</v>
      </c>
      <c r="C9" s="24" t="n">
        <f aca="false">B9/12</f>
        <v>3152166.66666667</v>
      </c>
      <c r="D9" s="10" t="s">
        <v>302</v>
      </c>
    </row>
    <row r="10" customFormat="false" ht="15" hidden="false" customHeight="false" outlineLevel="0" collapsed="false">
      <c r="A10" s="4" t="s">
        <v>303</v>
      </c>
      <c r="B10" s="24" t="n">
        <f aca="false">Модель!N21+Модель!N22</f>
        <v>21888000</v>
      </c>
      <c r="C10" s="24" t="n">
        <f aca="false">B10/12</f>
        <v>1824000</v>
      </c>
      <c r="D10" s="10" t="s">
        <v>304</v>
      </c>
    </row>
    <row r="11" customFormat="false" ht="15" hidden="false" customHeight="false" outlineLevel="0" collapsed="false">
      <c r="A11" s="4" t="s">
        <v>223</v>
      </c>
      <c r="B11" s="24" t="n">
        <f aca="false">Модель!N32</f>
        <v>7085296.55172414</v>
      </c>
      <c r="C11" s="24" t="n">
        <f aca="false">B11/12</f>
        <v>590441.379310345</v>
      </c>
      <c r="D11" s="10" t="s">
        <v>305</v>
      </c>
    </row>
    <row r="12" customFormat="false" ht="15" hidden="false" customHeight="false" outlineLevel="0" collapsed="false">
      <c r="A12" s="4" t="s">
        <v>227</v>
      </c>
      <c r="B12" s="24" t="n">
        <f aca="false">Модель!N34</f>
        <v>3210004.68965517</v>
      </c>
      <c r="C12" s="24" t="n">
        <f aca="false">B12/12</f>
        <v>267500.390804598</v>
      </c>
      <c r="D12" s="10" t="s">
        <v>306</v>
      </c>
    </row>
    <row r="13" customFormat="false" ht="15" hidden="false" customHeight="false" outlineLevel="0" collapsed="false">
      <c r="A13" s="6" t="s">
        <v>307</v>
      </c>
      <c r="B13" s="7"/>
      <c r="C13" s="7"/>
      <c r="D13" s="7"/>
    </row>
    <row r="14" customFormat="false" ht="15" hidden="false" customHeight="false" outlineLevel="0" collapsed="false">
      <c r="A14" s="19" t="s">
        <v>308</v>
      </c>
      <c r="B14" s="26" t="n">
        <f aca="false">Модель!N36</f>
        <v>12840018.7586207</v>
      </c>
      <c r="C14" s="24" t="n">
        <f aca="false">B14/12</f>
        <v>1070001.56321839</v>
      </c>
      <c r="D14" s="10" t="s">
        <v>309</v>
      </c>
    </row>
    <row r="15" customFormat="false" ht="15" hidden="false" customHeight="false" outlineLevel="0" collapsed="false">
      <c r="A15" s="4" t="s">
        <v>232</v>
      </c>
      <c r="B15" s="29" t="n">
        <f aca="false">IF(B6=0,0,B14/B6)</f>
        <v>0.149860162915741</v>
      </c>
      <c r="D15" s="10" t="s">
        <v>310</v>
      </c>
    </row>
    <row r="16" customFormat="false" ht="15" hidden="false" customHeight="false" outlineLevel="0" collapsed="false">
      <c r="A16" s="4" t="s">
        <v>234</v>
      </c>
      <c r="B16" s="24" t="n">
        <f aca="false">Модель!N38</f>
        <v>15458018.7586207</v>
      </c>
      <c r="C16" s="24" t="n">
        <f aca="false">B16/12</f>
        <v>1288168.22988506</v>
      </c>
      <c r="D16" s="10" t="s">
        <v>311</v>
      </c>
    </row>
    <row r="17" customFormat="false" ht="15" hidden="false" customHeight="false" outlineLevel="0" collapsed="false">
      <c r="A17" s="6" t="s">
        <v>312</v>
      </c>
      <c r="B17" s="7"/>
      <c r="C17" s="7"/>
      <c r="D17" s="7"/>
    </row>
    <row r="18" customFormat="false" ht="15" hidden="false" customHeight="false" outlineLevel="0" collapsed="false">
      <c r="A18" s="4" t="s">
        <v>313</v>
      </c>
      <c r="B18" s="24" t="n">
        <f aca="false">Безубыток!B10</f>
        <v>18550000</v>
      </c>
      <c r="D18" s="10" t="s">
        <v>314</v>
      </c>
    </row>
    <row r="19" customFormat="false" ht="15" hidden="false" customHeight="false" outlineLevel="0" collapsed="false">
      <c r="A19" s="19" t="s">
        <v>315</v>
      </c>
      <c r="B19" s="33" t="n">
        <f aca="false">IF(C14&lt;=0,"не окупается",B18/C14)</f>
        <v>17.3364232704526</v>
      </c>
      <c r="D19" s="10" t="s">
        <v>316</v>
      </c>
    </row>
    <row r="20" customFormat="false" ht="15" hidden="false" customHeight="false" outlineLevel="0" collapsed="false">
      <c r="A20" s="19" t="s">
        <v>317</v>
      </c>
      <c r="B20" s="33" t="n">
        <f aca="false">IF(C16&lt;=0,"не окупается",B18/C16)</f>
        <v>14.400293043755</v>
      </c>
      <c r="D20" s="10" t="s">
        <v>318</v>
      </c>
    </row>
    <row r="21" customFormat="false" ht="15" hidden="false" customHeight="false" outlineLevel="0" collapsed="false">
      <c r="A21" s="4" t="s">
        <v>319</v>
      </c>
      <c r="B21" s="24" t="n">
        <f aca="false">Модель!M39</f>
        <v>-3091981.24137931</v>
      </c>
      <c r="D21" s="10" t="s">
        <v>320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2"/>
    <col collapsed="false" customWidth="true" hidden="false" outlineLevel="0" max="13" min="2" style="0" width="10"/>
  </cols>
  <sheetData>
    <row r="1" customFormat="false" ht="17.35" hidden="false" customHeight="false" outlineLevel="0" collapsed="false">
      <c r="A1" s="1" t="s">
        <v>321</v>
      </c>
    </row>
    <row r="2" customFormat="false" ht="15" hidden="false" customHeight="false" outlineLevel="0" collapsed="false">
      <c r="A2" s="2" t="s">
        <v>322</v>
      </c>
    </row>
    <row r="4" customFormat="false" ht="15" hidden="false" customHeight="false" outlineLevel="0" collapsed="false">
      <c r="A4" s="13" t="s">
        <v>38</v>
      </c>
      <c r="B4" s="14" t="s">
        <v>167</v>
      </c>
      <c r="C4" s="14" t="s">
        <v>168</v>
      </c>
      <c r="D4" s="14" t="s">
        <v>169</v>
      </c>
      <c r="E4" s="14" t="s">
        <v>170</v>
      </c>
      <c r="F4" s="14" t="s">
        <v>171</v>
      </c>
      <c r="G4" s="14" t="s">
        <v>172</v>
      </c>
      <c r="H4" s="14" t="s">
        <v>173</v>
      </c>
      <c r="I4" s="14" t="s">
        <v>174</v>
      </c>
      <c r="J4" s="14" t="s">
        <v>175</v>
      </c>
      <c r="K4" s="14" t="s">
        <v>176</v>
      </c>
      <c r="L4" s="14" t="s">
        <v>177</v>
      </c>
      <c r="M4" s="14" t="s">
        <v>178</v>
      </c>
    </row>
    <row r="5" customFormat="false" ht="15" hidden="false" customHeight="false" outlineLevel="0" collapsed="false">
      <c r="A5" s="4" t="s">
        <v>323</v>
      </c>
      <c r="B5" s="17" t="n">
        <f aca="false">ROUND(Модель!B6/Допущения!$B$12,0)</f>
        <v>150</v>
      </c>
      <c r="C5" s="17" t="n">
        <f aca="false">ROUND(Модель!C6/Допущения!$B$12,0)</f>
        <v>160</v>
      </c>
      <c r="D5" s="17" t="n">
        <f aca="false">ROUND(Модель!D6/Допущения!$B$12,0)</f>
        <v>190</v>
      </c>
      <c r="E5" s="17" t="n">
        <f aca="false">ROUND(Модель!E6/Допущения!$B$12,0)</f>
        <v>200</v>
      </c>
      <c r="F5" s="17" t="n">
        <f aca="false">ROUND(Модель!F6/Допущения!$B$12,0)</f>
        <v>210</v>
      </c>
      <c r="G5" s="17" t="n">
        <f aca="false">ROUND(Модель!G6/Допущения!$B$12,0)</f>
        <v>210</v>
      </c>
      <c r="H5" s="17" t="n">
        <f aca="false">ROUND(Модель!H6/Допущения!$B$12,0)</f>
        <v>200</v>
      </c>
      <c r="I5" s="17" t="n">
        <f aca="false">ROUND(Модель!I6/Допущения!$B$12,0)</f>
        <v>200</v>
      </c>
      <c r="J5" s="17" t="n">
        <f aca="false">ROUND(Модель!J6/Допущения!$B$12,0)</f>
        <v>220</v>
      </c>
      <c r="K5" s="17" t="n">
        <f aca="false">ROUND(Модель!K6/Допущения!$B$12,0)</f>
        <v>220</v>
      </c>
      <c r="L5" s="17" t="n">
        <f aca="false">ROUND(Модель!L6/Допущения!$B$12,0)</f>
        <v>210</v>
      </c>
      <c r="M5" s="17" t="n">
        <f aca="false">ROUND(Модель!M6/Допущения!$B$12,0)</f>
        <v>210</v>
      </c>
    </row>
    <row r="6" customFormat="false" ht="15" hidden="false" customHeight="false" outlineLevel="0" collapsed="false">
      <c r="A6" s="4" t="s">
        <v>324</v>
      </c>
      <c r="B6" s="17" t="n">
        <f aca="false">Модель!B11/1000</f>
        <v>5400</v>
      </c>
      <c r="C6" s="17" t="n">
        <f aca="false">Модель!C11/1000</f>
        <v>5760</v>
      </c>
      <c r="D6" s="17" t="n">
        <f aca="false">Модель!D11/1000</f>
        <v>6840</v>
      </c>
      <c r="E6" s="17" t="n">
        <f aca="false">Модель!E11/1000</f>
        <v>7200</v>
      </c>
      <c r="F6" s="17" t="n">
        <f aca="false">Модель!F11/1000</f>
        <v>7560</v>
      </c>
      <c r="G6" s="17" t="n">
        <f aca="false">Модель!G11/1000</f>
        <v>7560</v>
      </c>
      <c r="H6" s="17" t="n">
        <f aca="false">Модель!H11/1000</f>
        <v>7200</v>
      </c>
      <c r="I6" s="17" t="n">
        <f aca="false">Модель!I11/1000</f>
        <v>7200</v>
      </c>
      <c r="J6" s="17" t="n">
        <f aca="false">Модель!J11/1000</f>
        <v>7920</v>
      </c>
      <c r="K6" s="17" t="n">
        <f aca="false">Модель!K11/1000</f>
        <v>7920</v>
      </c>
      <c r="L6" s="17" t="n">
        <f aca="false">Модель!L11/1000</f>
        <v>7560</v>
      </c>
      <c r="M6" s="17" t="n">
        <f aca="false">Модель!M11/1000</f>
        <v>7560</v>
      </c>
    </row>
    <row r="7" customFormat="false" ht="15" hidden="false" customHeight="false" outlineLevel="0" collapsed="false">
      <c r="A7" s="4" t="s">
        <v>325</v>
      </c>
      <c r="B7" s="17" t="n">
        <f aca="false">Модель!B17/1000</f>
        <v>1557.9</v>
      </c>
      <c r="C7" s="17" t="n">
        <f aca="false">Модель!C17/1000</f>
        <v>1661.76</v>
      </c>
      <c r="D7" s="17" t="n">
        <f aca="false">Модель!D17/1000</f>
        <v>1973.34</v>
      </c>
      <c r="E7" s="17" t="n">
        <f aca="false">Модель!E17/1000</f>
        <v>2077.2</v>
      </c>
      <c r="F7" s="17" t="n">
        <f aca="false">Модель!F17/1000</f>
        <v>2181.06</v>
      </c>
      <c r="G7" s="17" t="n">
        <f aca="false">Модель!G17/1000</f>
        <v>2181.06</v>
      </c>
      <c r="H7" s="17" t="n">
        <f aca="false">Модель!H17/1000</f>
        <v>2077.2</v>
      </c>
      <c r="I7" s="17" t="n">
        <f aca="false">Модель!I17/1000</f>
        <v>2077.2</v>
      </c>
      <c r="J7" s="17" t="n">
        <f aca="false">Модель!J17/1000</f>
        <v>2284.92</v>
      </c>
      <c r="K7" s="17" t="n">
        <f aca="false">Модель!K17/1000</f>
        <v>2284.92</v>
      </c>
      <c r="L7" s="17" t="n">
        <f aca="false">Модель!L17/1000</f>
        <v>2181.06</v>
      </c>
      <c r="M7" s="17" t="n">
        <f aca="false">Модель!M17/1000</f>
        <v>2181.06</v>
      </c>
    </row>
    <row r="8" customFormat="false" ht="15" hidden="false" customHeight="false" outlineLevel="0" collapsed="false">
      <c r="A8" s="4" t="s">
        <v>326</v>
      </c>
      <c r="B8" s="17" t="n">
        <f aca="false">Модель!B28/1000</f>
        <v>3152.16666666667</v>
      </c>
      <c r="C8" s="17" t="n">
        <f aca="false">Модель!C28/1000</f>
        <v>3152.16666666667</v>
      </c>
      <c r="D8" s="17" t="n">
        <f aca="false">Модель!D28/1000</f>
        <v>3152.16666666667</v>
      </c>
      <c r="E8" s="17" t="n">
        <f aca="false">Модель!E28/1000</f>
        <v>3152.16666666667</v>
      </c>
      <c r="F8" s="17" t="n">
        <f aca="false">Модель!F28/1000</f>
        <v>3152.16666666667</v>
      </c>
      <c r="G8" s="17" t="n">
        <f aca="false">Модель!G28/1000</f>
        <v>3152.16666666667</v>
      </c>
      <c r="H8" s="17" t="n">
        <f aca="false">Модель!H28/1000</f>
        <v>3152.16666666667</v>
      </c>
      <c r="I8" s="17" t="n">
        <f aca="false">Модель!I28/1000</f>
        <v>3152.16666666667</v>
      </c>
      <c r="J8" s="17" t="n">
        <f aca="false">Модель!J28/1000</f>
        <v>3152.16666666667</v>
      </c>
      <c r="K8" s="17" t="n">
        <f aca="false">Модель!K28/1000</f>
        <v>3152.16666666667</v>
      </c>
      <c r="L8" s="17" t="n">
        <f aca="false">Модель!L28/1000</f>
        <v>3152.16666666667</v>
      </c>
      <c r="M8" s="17" t="n">
        <f aca="false">Модель!M28/1000</f>
        <v>3152.16666666667</v>
      </c>
    </row>
    <row r="9" customFormat="false" ht="15" hidden="false" customHeight="false" outlineLevel="0" collapsed="false">
      <c r="A9" s="4" t="s">
        <v>327</v>
      </c>
      <c r="B9" s="17" t="n">
        <f aca="false">(Модель!B32+Модель!B34)/1000</f>
        <v>465.379770114943</v>
      </c>
      <c r="C9" s="17" t="n">
        <f aca="false">(Модель!C32+Модель!C34)/1000</f>
        <v>546.599494252874</v>
      </c>
      <c r="D9" s="17" t="n">
        <f aca="false">(Модель!D32+Модель!D34)/1000</f>
        <v>790.258666666667</v>
      </c>
      <c r="E9" s="17" t="n">
        <f aca="false">(Модель!E32+Модель!E34)/1000</f>
        <v>871.478390804598</v>
      </c>
      <c r="F9" s="17" t="n">
        <f aca="false">(Модель!F32+Модель!F34)/1000</f>
        <v>952.698114942529</v>
      </c>
      <c r="G9" s="17" t="n">
        <f aca="false">(Модель!G32+Модель!G34)/1000</f>
        <v>952.698114942529</v>
      </c>
      <c r="H9" s="17" t="n">
        <f aca="false">(Модель!H32+Модель!H34)/1000</f>
        <v>871.478390804598</v>
      </c>
      <c r="I9" s="17" t="n">
        <f aca="false">(Модель!I32+Модель!I34)/1000</f>
        <v>871.478390804598</v>
      </c>
      <c r="J9" s="17" t="n">
        <f aca="false">(Модель!J32+Модель!J34)/1000</f>
        <v>1033.91783908046</v>
      </c>
      <c r="K9" s="17" t="n">
        <f aca="false">(Модель!K32+Модель!K34)/1000</f>
        <v>1033.91783908046</v>
      </c>
      <c r="L9" s="17" t="n">
        <f aca="false">(Модель!L32+Модель!L34)/1000</f>
        <v>952.698114942529</v>
      </c>
      <c r="M9" s="17" t="n">
        <f aca="false">(Модель!M32+Модель!M34)/1000</f>
        <v>952.698114942529</v>
      </c>
    </row>
    <row r="10" customFormat="false" ht="15" hidden="false" customHeight="false" outlineLevel="0" collapsed="false">
      <c r="A10" s="19" t="s">
        <v>328</v>
      </c>
      <c r="B10" s="18" t="n">
        <f aca="false">Модель!B36/1000</f>
        <v>224.553563218391</v>
      </c>
      <c r="C10" s="18" t="n">
        <f aca="false">Модель!C36/1000</f>
        <v>399.47383908046</v>
      </c>
      <c r="D10" s="18" t="n">
        <f aca="false">Модель!D36/1000</f>
        <v>924.234666666667</v>
      </c>
      <c r="E10" s="18" t="n">
        <f aca="false">Модель!E36/1000</f>
        <v>1099.15494252874</v>
      </c>
      <c r="F10" s="18" t="n">
        <f aca="false">Модель!F36/1000</f>
        <v>1274.0752183908</v>
      </c>
      <c r="G10" s="18" t="n">
        <f aca="false">Модель!G36/1000</f>
        <v>1274.0752183908</v>
      </c>
      <c r="H10" s="18" t="n">
        <f aca="false">Модель!H36/1000</f>
        <v>1099.15494252874</v>
      </c>
      <c r="I10" s="18" t="n">
        <f aca="false">Модель!I36/1000</f>
        <v>1099.15494252874</v>
      </c>
      <c r="J10" s="18" t="n">
        <f aca="false">Модель!J36/1000</f>
        <v>1448.99549425287</v>
      </c>
      <c r="K10" s="18" t="n">
        <f aca="false">Модель!K36/1000</f>
        <v>1448.99549425287</v>
      </c>
      <c r="L10" s="18" t="n">
        <f aca="false">Модель!L36/1000</f>
        <v>1274.0752183908</v>
      </c>
      <c r="M10" s="18" t="n">
        <f aca="false">Модель!M36/1000</f>
        <v>1274.0752183908</v>
      </c>
    </row>
    <row r="11" customFormat="false" ht="15" hidden="false" customHeight="false" outlineLevel="0" collapsed="false">
      <c r="A11" s="4" t="s">
        <v>329</v>
      </c>
      <c r="B11" s="21" t="n">
        <f aca="false">Модель!B37</f>
        <v>0.0415839931885909</v>
      </c>
      <c r="C11" s="21" t="n">
        <f aca="false">Модель!C37</f>
        <v>0.0693530970625798</v>
      </c>
      <c r="D11" s="21" t="n">
        <f aca="false">Модель!D37</f>
        <v>0.135122027290448</v>
      </c>
      <c r="E11" s="21" t="n">
        <f aca="false">Модель!E37</f>
        <v>0.152660408684547</v>
      </c>
      <c r="F11" s="21" t="n">
        <f aca="false">Модель!F37</f>
        <v>0.168528468041112</v>
      </c>
      <c r="G11" s="21" t="n">
        <f aca="false">Модель!G37</f>
        <v>0.168528468041112</v>
      </c>
      <c r="H11" s="21" t="n">
        <f aca="false">Модель!H37</f>
        <v>0.152660408684547</v>
      </c>
      <c r="I11" s="21" t="n">
        <f aca="false">Модель!I37</f>
        <v>0.152660408684547</v>
      </c>
      <c r="J11" s="21" t="n">
        <f aca="false">Модель!J37</f>
        <v>0.18295397654708</v>
      </c>
      <c r="K11" s="21" t="n">
        <f aca="false">Модель!K37</f>
        <v>0.18295397654708</v>
      </c>
      <c r="L11" s="21" t="n">
        <f aca="false">Модель!L37</f>
        <v>0.168528468041112</v>
      </c>
      <c r="M11" s="21" t="n">
        <f aca="false">Модель!M37</f>
        <v>0.168528468041112</v>
      </c>
    </row>
    <row r="12" customFormat="false" ht="15" hidden="false" customHeight="false" outlineLevel="0" collapsed="false">
      <c r="A12" s="19" t="s">
        <v>330</v>
      </c>
      <c r="B12" s="18" t="n">
        <f aca="false">Модель!B39/1000</f>
        <v>-18107.2797701149</v>
      </c>
      <c r="C12" s="18" t="n">
        <f aca="false">Модель!C39/1000</f>
        <v>-17489.6392643678</v>
      </c>
      <c r="D12" s="18" t="n">
        <f aca="false">Модель!D39/1000</f>
        <v>-16347.2379310345</v>
      </c>
      <c r="E12" s="18" t="n">
        <f aca="false">Модель!E39/1000</f>
        <v>-15029.9163218391</v>
      </c>
      <c r="F12" s="18" t="n">
        <f aca="false">Модель!F39/1000</f>
        <v>-13537.6744367816</v>
      </c>
      <c r="G12" s="18" t="n">
        <f aca="false">Модель!G39/1000</f>
        <v>-12045.4325517241</v>
      </c>
      <c r="H12" s="18" t="n">
        <f aca="false">Модель!H39/1000</f>
        <v>-10728.1109425287</v>
      </c>
      <c r="I12" s="18" t="n">
        <f aca="false">Модель!I39/1000</f>
        <v>-9410.78933333333</v>
      </c>
      <c r="J12" s="18" t="n">
        <f aca="false">Модель!J39/1000</f>
        <v>-7743.62717241379</v>
      </c>
      <c r="K12" s="18" t="n">
        <f aca="false">Модель!K39/1000</f>
        <v>-6076.46501149425</v>
      </c>
      <c r="L12" s="18" t="n">
        <f aca="false">Модель!L39/1000</f>
        <v>-4584.22312643678</v>
      </c>
      <c r="M12" s="18" t="n">
        <f aca="false">Модель!M39/1000</f>
        <v>-3091.98124137931</v>
      </c>
    </row>
    <row r="15" customFormat="false" ht="15" hidden="false" customHeight="false" outlineLevel="0" collapsed="false">
      <c r="A15" s="19" t="s">
        <v>331</v>
      </c>
    </row>
    <row r="16" customFormat="false" ht="15" hidden="false" customHeight="false" outlineLevel="0" collapsed="false">
      <c r="A16" s="10" t="s">
        <v>332</v>
      </c>
    </row>
    <row r="17" customFormat="false" ht="15" hidden="false" customHeight="false" outlineLevel="0" collapsed="false">
      <c r="A17" s="10" t="s">
        <v>333</v>
      </c>
    </row>
    <row r="18" customFormat="false" ht="15" hidden="false" customHeight="false" outlineLevel="0" collapsed="false">
      <c r="A18" s="10" t="s">
        <v>334</v>
      </c>
    </row>
    <row r="19" customFormat="false" ht="15" hidden="false" customHeight="false" outlineLevel="0" collapsed="false">
      <c r="A19" s="10" t="s">
        <v>335</v>
      </c>
    </row>
  </sheetData>
  <conditionalFormatting sqref="B10:M10">
    <cfRule type="cellIs" priority="2" operator="lessThan" aboveAverage="0" equalAverage="0" bottom="0" percent="0" rank="0" text="" dxfId="2">
      <formula>0</formula>
    </cfRule>
  </conditionalFormatting>
  <conditionalFormatting sqref="B12:M12">
    <cfRule type="cellIs" priority="3" operator="lessThan" aboveAverage="0" equalAverage="0" bottom="0" percent="0" rank="0" text="" dxfId="2">
      <formula>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2026-09-19T11:44:26Z</dcterms:created>
  <dc:creator>openpyxl</dc:creator>
  <dc:description/>
  <dc:language>en-US</dc:language>
  <cp:lastModifiedBy/>
  <dcterms:modified xsi:type="dcterms:W3CDTF">2026-09-19T11:44:27Z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