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ентарии" sheetId="1" state="visible" r:id="rId3"/>
    <sheet name="Допущения" sheetId="2" state="visible" r:id="rId4"/>
    <sheet name="Модель" sheetId="3" state="visible" r:id="rId5"/>
    <sheet name="Безубыток" sheetId="4" state="visible" r:id="rId6"/>
    <sheet name="Год" sheetId="5" state="visible" r:id="rId7"/>
    <sheet name="Проверка объявления" sheetId="6" state="visible" r:id="rId8"/>
    <sheet name="Рычаги" sheetId="7" state="visible" r:id="rId9"/>
    <sheet name="Ручная мойка" sheetId="8" state="visible" r:id="rId10"/>
    <sheet name="Дашборд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<sst xmlns="http://schemas.openxmlformats.org/spreadsheetml/2006/main" count="632" uniqueCount="445">
  <si>
    <t xml:space="preserve">КАК ЧИТАТЬ ЭТУ МОДЕЛЬ</t>
  </si>
  <si>
    <t xml:space="preserve">Inside Numbers · разбор экономики автомойки самообслуживания в Астане</t>
  </si>
  <si>
    <t xml:space="preserve">ПОРЯДОК РАБОТЫ</t>
  </si>
  <si>
    <t xml:space="preserve">1. Откройте лист «Допущения» и замените жёлтые ячейки своими цифрами: чек, аренду, машины по месяцам, отопление, смету.</t>
  </si>
  <si>
    <t xml:space="preserve">2. Все остальные листы пересчитаются сами.</t>
  </si>
  <si>
    <t xml:space="preserve">3. Лист «Модель» покажет, в какие месяцы вы в минусе. Лист «Год» - итог и сравнение двух налоговых режимов.</t>
  </si>
  <si>
    <t xml:space="preserve">4. «Безубыток» - сколько машин на пост в день нужно. «Проверка объявления» - как проверить мойку, которую вам продают.</t>
  </si>
  <si>
    <t xml:space="preserve">5. «Рычаги» - что дают сезонная цена, доп. услуги, флот, газ и оборотка, место. «Ручная мойка» - сравнение форматов.</t>
  </si>
  <si>
    <t xml:space="preserve">ОБОЗНАЧЕНИЯ</t>
  </si>
  <si>
    <t xml:space="preserve">Жёлтая заливка и синий шрифт - ячейки, которые нужно заполнить своими данными.</t>
  </si>
  <si>
    <t xml:space="preserve">Чёрный шрифт - расчётная ячейка с формулой. Не трогайте.</t>
  </si>
  <si>
    <t xml:space="preserve">Колонка «Комментарий / источник» на листе «Допущения» объясняет каждую цифру.</t>
  </si>
  <si>
    <t xml:space="preserve">ЧТО ВАЖНО ПОНИМАТЬ ПРО ЭТУ МОДЕЛЬ</t>
  </si>
  <si>
    <t xml:space="preserve">Мойка продаёт не воду, а погоду. Люди моют машину не тогда, когда она грязная, а когда это можно сделать без последствий.</t>
  </si>
  <si>
    <t xml:space="preserve">Четыре месяца (март, апрель, октябрь, ноябрь) делают больше половины годовой прибыли, а январь и февраль убыточны.</t>
  </si>
  <si>
    <t xml:space="preserve">Отопление - главная зимняя статья, и она максимальна ровно в месяцы минимальной выручки.</t>
  </si>
  <si>
    <t xml:space="preserve">Оборудование, которое моет машины, - треть вложений. Остальное - здание, трубы и подключение к городу.</t>
  </si>
  <si>
    <t xml:space="preserve">Выручка 5 постов выше порога НДС. Налоговый режим меняет окупаемость примерно на год - выбирайте его до открытия.</t>
  </si>
  <si>
    <t xml:space="preserve">ЧЕГО В МОДЕЛИ НЕТ</t>
  </si>
  <si>
    <t xml:space="preserve">Аварий зимой. Отключили свет на полдня в январе - вода в линиях замёрзла, лопнули трубы, форсунки, насосы. Одна такая ночь стоит</t>
  </si>
  <si>
    <t xml:space="preserve">сотни тысяч тенге. Заложите резервное питание и человека, который приедет ночью.</t>
  </si>
  <si>
    <t xml:space="preserve">Будущих повышений тарифа на воду. С 2025 по 2026 год вода и канализация для бизнеса в Астане подорожали на 47%.</t>
  </si>
  <si>
    <t xml:space="preserve">Кредита и процентов по нему. Если открываетесь на заёмные - добавьте платежи отдельной строкой на листе «Модель».</t>
  </si>
  <si>
    <t xml:space="preserve">ОГОВОРКА</t>
  </si>
  <si>
    <t xml:space="preserve">Модель носит образовательный характер и не является финансовой или инвестиционной рекомендацией.</t>
  </si>
  <si>
    <t xml:space="preserve">Расчёты приведены для типового сценария; фактические показатели зависят от участка, оборудования, погоды и условий</t>
  </si>
  <si>
    <t xml:space="preserve">подключения. Налоговый режим и допустимость упрощёнки для вашего ОКЭД уточните у бухгалтера.</t>
  </si>
  <si>
    <t xml:space="preserve">Разбор этой модели на видео: youtube.com/@insidenumbers</t>
  </si>
  <si>
    <t xml:space="preserve">Автоматизация управленческого учёта: finflow.kz</t>
  </si>
  <si>
    <t xml:space="preserve">ДОПУЩЕНИЯ МОДЕЛИ - АВТОМОЙКА САМООБСЛУЖИВАНИЯ, АСТАНА 2026</t>
  </si>
  <si>
    <t xml:space="preserve">Жёлтые ячейки - вводные, их можно менять. Все остальные листы пересчитаются автоматически.</t>
  </si>
  <si>
    <t xml:space="preserve">Показатель</t>
  </si>
  <si>
    <t xml:space="preserve">Значение</t>
  </si>
  <si>
    <t xml:space="preserve">Ед.</t>
  </si>
  <si>
    <t xml:space="preserve">Комментарий / источник</t>
  </si>
  <si>
    <t xml:space="preserve">1. МОЙКА И ЧЕК</t>
  </si>
  <si>
    <t xml:space="preserve">Количество постов</t>
  </si>
  <si>
    <t xml:space="preserve">шт</t>
  </si>
  <si>
    <t xml:space="preserve">Мойка самообслуживания на 5 постов, земля в аренде.</t>
  </si>
  <si>
    <t xml:space="preserve">Рабочих дней в месяце</t>
  </si>
  <si>
    <t xml:space="preserve">дн</t>
  </si>
  <si>
    <t xml:space="preserve">Мойка работает круглосуточно и без выходных.</t>
  </si>
  <si>
    <t xml:space="preserve">Средний чек визита</t>
  </si>
  <si>
    <t xml:space="preserve">₸</t>
  </si>
  <si>
    <t xml:space="preserve">Минута в Астане 150-250 ₸ в зависимости от режима (вода, пена, воск). По отзывам обычная мойка выходит в 1 500-2 000 ₸. Берём осторожно: 1 500 ₸ за 7-8 минут.</t>
  </si>
  <si>
    <t xml:space="preserve">2. ЗАГРУЗКА ПО МЕСЯЦАМ: МАШИН НА ОДИН ПОСТ В ДЕНЬ</t>
  </si>
  <si>
    <t xml:space="preserve">Январь</t>
  </si>
  <si>
    <t xml:space="preserve">маш/пост/день</t>
  </si>
  <si>
    <t xml:space="preserve">Мороз, люди ждут оттепели. Замерзают замки и уплотнители</t>
  </si>
  <si>
    <t xml:space="preserve">Февраль</t>
  </si>
  <si>
    <t xml:space="preserve">То же самое, что январь</t>
  </si>
  <si>
    <t xml:space="preserve">Март</t>
  </si>
  <si>
    <t xml:space="preserve">Снег тает, всё в грязи, все хотят помыться одновременно</t>
  </si>
  <si>
    <t xml:space="preserve">Апрель</t>
  </si>
  <si>
    <t xml:space="preserve">Пик года: очереди на дороге</t>
  </si>
  <si>
    <t xml:space="preserve">Май</t>
  </si>
  <si>
    <t xml:space="preserve">Сошёл снег, поток спадает</t>
  </si>
  <si>
    <t xml:space="preserve">Июнь</t>
  </si>
  <si>
    <t xml:space="preserve">Лето: пыль, но машины не такие грязные</t>
  </si>
  <si>
    <t xml:space="preserve">Июль</t>
  </si>
  <si>
    <t xml:space="preserve">Лето, часть людей в отпусках</t>
  </si>
  <si>
    <t xml:space="preserve">Август</t>
  </si>
  <si>
    <t xml:space="preserve">Лето</t>
  </si>
  <si>
    <t xml:space="preserve">Сентябрь</t>
  </si>
  <si>
    <t xml:space="preserve">Нормальный месяц, очередей нигде нет</t>
  </si>
  <si>
    <t xml:space="preserve">Октябрь</t>
  </si>
  <si>
    <t xml:space="preserve">Второй пик: слякоть, первый снег, реагенты</t>
  </si>
  <si>
    <t xml:space="preserve">Ноябрь</t>
  </si>
  <si>
    <t xml:space="preserve">Слякоть и реагенты</t>
  </si>
  <si>
    <t xml:space="preserve">Декабрь</t>
  </si>
  <si>
    <t xml:space="preserve">Морозы, снова спад</t>
  </si>
  <si>
    <t xml:space="preserve">Среднее за год</t>
  </si>
  <si>
    <t xml:space="preserve">Нормальная рабочая точка - 20 машин на пост в среднем за год</t>
  </si>
  <si>
    <t xml:space="preserve">3. СЕБЕСТОИМОСТЬ ОДНОГО ВИЗИТА</t>
  </si>
  <si>
    <t xml:space="preserve">Вода на одну машину</t>
  </si>
  <si>
    <t xml:space="preserve">л</t>
  </si>
  <si>
    <t xml:space="preserve">Около 80 литров на машину.</t>
  </si>
  <si>
    <t xml:space="preserve">Вода и канализация для бизнеса, без НДС</t>
  </si>
  <si>
    <t xml:space="preserve">₸/м³</t>
  </si>
  <si>
    <t xml:space="preserve">Астана с 1 апреля 2026 года, водоснабжение + водоотведение. В 2025 году было 658 ₸ (+47%).</t>
  </si>
  <si>
    <t xml:space="preserve">Тариф 2025 года, для сравнения</t>
  </si>
  <si>
    <t xml:space="preserve">Используется только в блоке «Вода» на листе «Безубыток».</t>
  </si>
  <si>
    <t xml:space="preserve">НДС в ценах поставщиков</t>
  </si>
  <si>
    <t xml:space="preserve">%</t>
  </si>
  <si>
    <t xml:space="preserve">Если вы не плательщик НДС, этот НДС - ваш расход.</t>
  </si>
  <si>
    <t xml:space="preserve">Химия: пена, воск, осмос</t>
  </si>
  <si>
    <t xml:space="preserve">₸/визит</t>
  </si>
  <si>
    <t xml:space="preserve">Электричество на насосы</t>
  </si>
  <si>
    <t xml:space="preserve">Комиссия за приём оплаты</t>
  </si>
  <si>
    <t xml:space="preserve">% чека</t>
  </si>
  <si>
    <t xml:space="preserve">Терминал и QR. 15 ₸ с чека 1 500 ₸.</t>
  </si>
  <si>
    <t xml:space="preserve">4. ПОСТОЯННЫЕ РАСХОДЫ В МЕСЯЦ</t>
  </si>
  <si>
    <t xml:space="preserve">Аренда земли</t>
  </si>
  <si>
    <t xml:space="preserve">₸/мес</t>
  </si>
  <si>
    <t xml:space="preserve">Земля в аренде. Арендодатель - плательщик НДС (для общего режима).</t>
  </si>
  <si>
    <t xml:space="preserve">Двое операторов посменно, с налогами</t>
  </si>
  <si>
    <t xml:space="preserve">Убирают посты, меняют купюры, следят, чтобы никто не мыл двигатель.</t>
  </si>
  <si>
    <t xml:space="preserve">Базовое электричество</t>
  </si>
  <si>
    <t xml:space="preserve">Тёплый пол, освещение, насосы в режиме ожидания.</t>
  </si>
  <si>
    <t xml:space="preserve">Видеонаблюдение, софт, охрана</t>
  </si>
  <si>
    <t xml:space="preserve">Ремонт и запчасти</t>
  </si>
  <si>
    <t xml:space="preserve">Форсунки, шланги, насосы, пистолеты. Зимой ломается чаще.</t>
  </si>
  <si>
    <t xml:space="preserve">Маркетинг</t>
  </si>
  <si>
    <t xml:space="preserve">5. ОТОПЛЕНИЕ ПО МЕСЯЦАМ</t>
  </si>
  <si>
    <t xml:space="preserve">Отопление - Январь</t>
  </si>
  <si>
    <t xml:space="preserve">Пик холода ровно в месяцы минимальной выручки</t>
  </si>
  <si>
    <t xml:space="preserve">Отопление - Февраль</t>
  </si>
  <si>
    <t xml:space="preserve">Морозы</t>
  </si>
  <si>
    <t xml:space="preserve">Отопление - Март</t>
  </si>
  <si>
    <t xml:space="preserve">Ещё холодно по ночам</t>
  </si>
  <si>
    <t xml:space="preserve">Отопление - Апрель</t>
  </si>
  <si>
    <t xml:space="preserve">Ночные заморозки</t>
  </si>
  <si>
    <t xml:space="preserve">Отопление - Май</t>
  </si>
  <si>
    <t xml:space="preserve">Отопление - Июнь</t>
  </si>
  <si>
    <t xml:space="preserve">Отопление - Июль</t>
  </si>
  <si>
    <t xml:space="preserve">Отопление - Август</t>
  </si>
  <si>
    <t xml:space="preserve">Отопление - Сентябрь</t>
  </si>
  <si>
    <t xml:space="preserve">Отопление - Октябрь</t>
  </si>
  <si>
    <t xml:space="preserve">Начало отопительного сезона</t>
  </si>
  <si>
    <t xml:space="preserve">Отопление - Ноябрь</t>
  </si>
  <si>
    <t xml:space="preserve">Морозы, реагенты</t>
  </si>
  <si>
    <t xml:space="preserve">Отопление - Декабрь</t>
  </si>
  <si>
    <t xml:space="preserve">Итого отопление за год</t>
  </si>
  <si>
    <t xml:space="preserve">Дизельное отопление: мойка на 6 постов в сильный мороз сжигает до 100 л в сутки по ~345 ₸ = около 1 млн ₸ в месяц. С газом дешевле, но газ есть не на каждом участке.</t>
  </si>
  <si>
    <t xml:space="preserve">Дизель в сильный мороз</t>
  </si>
  <si>
    <t xml:space="preserve">л/сутки</t>
  </si>
  <si>
    <t xml:space="preserve">Для справки: расчёт пикового месяца на листе «Безубыток».</t>
  </si>
  <si>
    <t xml:space="preserve">Цена дизеля</t>
  </si>
  <si>
    <t xml:space="preserve">₸/л</t>
  </si>
  <si>
    <t xml:space="preserve">6. НАЛОГИ</t>
  </si>
  <si>
    <t xml:space="preserve">Режим: 1 = упрощёнка, 2 = общий (НДС + КПН)</t>
  </si>
  <si>
    <t xml:space="preserve">код</t>
  </si>
  <si>
    <t xml:space="preserve">Выручка ~54 млн ₸ в год - выше порога НДС. По умолчанию общий режим. Если ваш вид деятельности допускает упрощёнку, поставьте 1. Сравнение обоих режимов - на листе «Год».</t>
  </si>
  <si>
    <t xml:space="preserve">Ставка налога по упрощёнке</t>
  </si>
  <si>
    <t xml:space="preserve">% выручки</t>
  </si>
  <si>
    <t xml:space="preserve">Базовая ставка 4%, маслихат может менять в пределах ±50%.</t>
  </si>
  <si>
    <t xml:space="preserve">Ставка НДС</t>
  </si>
  <si>
    <t xml:space="preserve">С 1 января 2026 года.</t>
  </si>
  <si>
    <t xml:space="preserve">Порог регистрации по НДС</t>
  </si>
  <si>
    <t xml:space="preserve">₸/год</t>
  </si>
  <si>
    <t xml:space="preserve">10 000 МРП.</t>
  </si>
  <si>
    <t xml:space="preserve">Ставка КПН</t>
  </si>
  <si>
    <t xml:space="preserve">Убыток зимних месяцев уменьшает годовой КПН.</t>
  </si>
  <si>
    <t xml:space="preserve">7. СТАРТОВЫЕ ВЛОЖЕНИЯ</t>
  </si>
  <si>
    <t xml:space="preserve">Оборудование на 5 постов</t>
  </si>
  <si>
    <t xml:space="preserve">Простой комплект на пост на маркетплейсах - от 1,1 млн ₸ без подогрева и осмоса. Европейское или хорошее российское - в разы дороже. 20 млн - среднее между дешёвым и надёжным.</t>
  </si>
  <si>
    <t xml:space="preserve">Павильон с утеплением и тёплым полом</t>
  </si>
  <si>
    <t xml:space="preserve">Тёплый пол - не комфорт: без него зимой пол превращается в каток, а сливы замерзают.</t>
  </si>
  <si>
    <t xml:space="preserve">Подключение: вода, канализация, электричество</t>
  </si>
  <si>
    <t xml:space="preserve">Всё через технические условия.</t>
  </si>
  <si>
    <t xml:space="preserve">Очистка воды</t>
  </si>
  <si>
    <t xml:space="preserve">Грязную воду с химией нельзя просто слить в канализацию.</t>
  </si>
  <si>
    <t xml:space="preserve">Проект и разрешения</t>
  </si>
  <si>
    <t xml:space="preserve">Резерв и оборотные деньги</t>
  </si>
  <si>
    <t xml:space="preserve">Деньги на первые месяцы и на первую зиму.</t>
  </si>
  <si>
    <t xml:space="preserve">Срок амортизации</t>
  </si>
  <si>
    <t xml:space="preserve">лет</t>
  </si>
  <si>
    <t xml:space="preserve">Без резерва. Нужна для КПН на общем режиме.</t>
  </si>
  <si>
    <t xml:space="preserve">ОПЕРАЦИОННАЯ МОДЕЛЬ - 12 МЕСЯЦЕВ</t>
  </si>
  <si>
    <t xml:space="preserve">Все числа - формулы от листа «Допущения». Загрузка и отопление заданы по месяцам: это бизнес на погоде.</t>
  </si>
  <si>
    <t xml:space="preserve">янв</t>
  </si>
  <si>
    <t xml:space="preserve">фев</t>
  </si>
  <si>
    <t xml:space="preserve">мар</t>
  </si>
  <si>
    <t xml:space="preserve">апр</t>
  </si>
  <si>
    <t xml:space="preserve">май</t>
  </si>
  <si>
    <t xml:space="preserve">июн</t>
  </si>
  <si>
    <t xml:space="preserve">июл</t>
  </si>
  <si>
    <t xml:space="preserve">авг</t>
  </si>
  <si>
    <t xml:space="preserve">сен</t>
  </si>
  <si>
    <t xml:space="preserve">окт</t>
  </si>
  <si>
    <t xml:space="preserve">ноя</t>
  </si>
  <si>
    <t xml:space="preserve">дек</t>
  </si>
  <si>
    <t xml:space="preserve">Итого 12 мес</t>
  </si>
  <si>
    <t xml:space="preserve">Как считается</t>
  </si>
  <si>
    <t xml:space="preserve">ОБЪЁМ</t>
  </si>
  <si>
    <t xml:space="preserve">Машин на пост в день</t>
  </si>
  <si>
    <t xml:space="preserve">Допущения, раздел 2</t>
  </si>
  <si>
    <t xml:space="preserve">Машин за месяц</t>
  </si>
  <si>
    <t xml:space="preserve">На пост в день × посты × дни</t>
  </si>
  <si>
    <t xml:space="preserve">ВЫРУЧКА, ₸</t>
  </si>
  <si>
    <t xml:space="preserve">ВЫРУЧКА</t>
  </si>
  <si>
    <t xml:space="preserve">Машины × средний чек</t>
  </si>
  <si>
    <t xml:space="preserve">ПЕРЕМЕННЫЕ РАСХОДЫ, ₸</t>
  </si>
  <si>
    <t xml:space="preserve">Вода и канализация</t>
  </si>
  <si>
    <t xml:space="preserve">Машины × литры × тариф с НДС</t>
  </si>
  <si>
    <t xml:space="preserve">Химия</t>
  </si>
  <si>
    <t xml:space="preserve">Машины × химия на визит</t>
  </si>
  <si>
    <t xml:space="preserve">Машины × электричество на визит</t>
  </si>
  <si>
    <t xml:space="preserve">Комиссия за оплату</t>
  </si>
  <si>
    <t xml:space="preserve">Выручка × комиссия</t>
  </si>
  <si>
    <t xml:space="preserve">Итого переменных</t>
  </si>
  <si>
    <t xml:space="preserve">Сумма</t>
  </si>
  <si>
    <t xml:space="preserve">ВАЛОВАЯ ПРИБЫЛЬ</t>
  </si>
  <si>
    <t xml:space="preserve">Выручка − переменные</t>
  </si>
  <si>
    <t xml:space="preserve">ПОСТОЯННЫЕ РАСХОДЫ, ₸</t>
  </si>
  <si>
    <t xml:space="preserve">Фикс</t>
  </si>
  <si>
    <t xml:space="preserve">Операторы с налогами</t>
  </si>
  <si>
    <t xml:space="preserve">Тёплый пол, свет, насосы в ожидании</t>
  </si>
  <si>
    <t xml:space="preserve">Видео, софт, охрана</t>
  </si>
  <si>
    <t xml:space="preserve">Отопление</t>
  </si>
  <si>
    <t xml:space="preserve">По месяцам, Допущения раздел 5</t>
  </si>
  <si>
    <t xml:space="preserve">Итого постоянных денежных</t>
  </si>
  <si>
    <t xml:space="preserve">Платится независимо от погоды</t>
  </si>
  <si>
    <t xml:space="preserve">ПРИБЫЛЬ ДО НАЛОГОВ И АМОРТИЗАЦИИ</t>
  </si>
  <si>
    <t xml:space="preserve">Валовая − постоянные. Это «прибыль до налогов» из выпуска</t>
  </si>
  <si>
    <t xml:space="preserve">Амортизация</t>
  </si>
  <si>
    <t xml:space="preserve">Вложения без резерва / срок / 12</t>
  </si>
  <si>
    <t xml:space="preserve">НАЛОГИ: УПРОЩЁНКА (режим 1), ₸</t>
  </si>
  <si>
    <t xml:space="preserve">Налог 4% с выручки</t>
  </si>
  <si>
    <t xml:space="preserve">Выручка × ставка</t>
  </si>
  <si>
    <t xml:space="preserve">Денежный поток на упрощёнке</t>
  </si>
  <si>
    <t xml:space="preserve">Прибыль до налогов − налог</t>
  </si>
  <si>
    <t xml:space="preserve">НАЛОГИ: ОБЩИЙ РЕЖИМ (режим 2), ₸</t>
  </si>
  <si>
    <t xml:space="preserve">НДС с реализации</t>
  </si>
  <si>
    <t xml:space="preserve">Выручка × 16/116</t>
  </si>
  <si>
    <t xml:space="preserve">НДС к зачёту</t>
  </si>
  <si>
    <t xml:space="preserve">Вода, химия, электричество, аренда, услуги, отопление × 16/116. По зарплатам и комиссии зачёта нет</t>
  </si>
  <si>
    <t xml:space="preserve">НДС к уплате</t>
  </si>
  <si>
    <t xml:space="preserve">Начисленный − зачёт</t>
  </si>
  <si>
    <t xml:space="preserve">Прибыль до КПН</t>
  </si>
  <si>
    <t xml:space="preserve">Прибыль до налогов − амортизация − НДС</t>
  </si>
  <si>
    <t xml:space="preserve">КПН</t>
  </si>
  <si>
    <t xml:space="preserve">20%. Убыток зимы уменьшает годовой КПН; за год не меньше нуля</t>
  </si>
  <si>
    <t xml:space="preserve">Денежный поток на общем режиме</t>
  </si>
  <si>
    <t xml:space="preserve">Прибыль до налогов − НДС − КПН</t>
  </si>
  <si>
    <t xml:space="preserve">РЕЗУЛЬТАТ В ВЫБРАННОМ РЕЖИМЕ, ₸</t>
  </si>
  <si>
    <t xml:space="preserve">Налоги</t>
  </si>
  <si>
    <t xml:space="preserve">Режим из Допущений, раздел 6</t>
  </si>
  <si>
    <t xml:space="preserve">ЧИСТАЯ ПРИБЫЛЬ</t>
  </si>
  <si>
    <t xml:space="preserve">После амортизации и налогов</t>
  </si>
  <si>
    <t xml:space="preserve">Чистая маржа</t>
  </si>
  <si>
    <t xml:space="preserve">Прибыль / выручка</t>
  </si>
  <si>
    <t xml:space="preserve">ДЕНЕЖНЫЙ ПОТОК</t>
  </si>
  <si>
    <t xml:space="preserve">Сколько денег реально остаётся</t>
  </si>
  <si>
    <t xml:space="preserve">Накопленный денежный поток</t>
  </si>
  <si>
    <t xml:space="preserve">Старт с минуса на сумму вложений</t>
  </si>
  <si>
    <t xml:space="preserve">Проверка порога НДС</t>
  </si>
  <si>
    <t xml:space="preserve">ВЛОЖЕНИЯ, ЭКОНОМИКА ВИЗИТА И ТОЧКА БЕЗУБЫТОЧНОСТИ</t>
  </si>
  <si>
    <t xml:space="preserve">Главный вопрос: сколько машин на пост в день нужно в среднем за год.</t>
  </si>
  <si>
    <t xml:space="preserve">1. СТАРТОВЫЕ ВЛОЖЕНИЯ, ₸</t>
  </si>
  <si>
    <t xml:space="preserve">Павильон с тёплым полом</t>
  </si>
  <si>
    <t xml:space="preserve">Подключение к сетям</t>
  </si>
  <si>
    <t xml:space="preserve">ИТОГО ВЛОЖЕНИЙ</t>
  </si>
  <si>
    <t xml:space="preserve">Доля оборудования, которое моет машины</t>
  </si>
  <si>
    <t xml:space="preserve">Остальное - здание, трубы и подключение к городу</t>
  </si>
  <si>
    <t xml:space="preserve">Амортизация в месяц</t>
  </si>
  <si>
    <t xml:space="preserve">2. ЭКОНОМИКА ОДНОГО ВИЗИТА, ₸</t>
  </si>
  <si>
    <t xml:space="preserve">Средний чек</t>
  </si>
  <si>
    <t xml:space="preserve">Вода и канализация с НДС</t>
  </si>
  <si>
    <t xml:space="preserve">Себестоимость визита</t>
  </si>
  <si>
    <t xml:space="preserve">ОСТАЁТСЯ С ВИЗИТА ДО НАЛОГОВ</t>
  </si>
  <si>
    <t xml:space="preserve">Остаётся с визита на упрощёнке</t>
  </si>
  <si>
    <t xml:space="preserve">Остаётся с визита на общем режиме</t>
  </si>
  <si>
    <t xml:space="preserve">После НДС на разницу. КПН - с итоговой прибыли</t>
  </si>
  <si>
    <t xml:space="preserve">3. ПОСТОЯННЫЕ РАСХОДЫ, ₸ В МЕСЯЦ</t>
  </si>
  <si>
    <t xml:space="preserve">Постоянные без отопления</t>
  </si>
  <si>
    <t xml:space="preserve">Отопление в среднем за месяц</t>
  </si>
  <si>
    <t xml:space="preserve">В январе до 900 тыс, летом ноль</t>
  </si>
  <si>
    <t xml:space="preserve">ИТОГО В СРЕДНЕМ ЗА МЕСЯЦ</t>
  </si>
  <si>
    <t xml:space="preserve">НДС к зачёту с постоянных (общий режим)</t>
  </si>
  <si>
    <t xml:space="preserve">4. ТОЧКА БЕЗУБЫТОЧНОСТИ (В СРЕДНЕМ ЗА ГОД)</t>
  </si>
  <si>
    <t xml:space="preserve">Машин в месяц для нуля до налогов</t>
  </si>
  <si>
    <t xml:space="preserve">МАШИН НА ПОСТ В ДЕНЬ ДЛЯ НУЛЯ ДО НАЛОГОВ</t>
  </si>
  <si>
    <t xml:space="preserve">Не каждый день, а в среднем за год</t>
  </si>
  <si>
    <t xml:space="preserve">Машин на пост в день для нуля на упрощёнке</t>
  </si>
  <si>
    <t xml:space="preserve">Машин на пост в день для нуля на общем режиме</t>
  </si>
  <si>
    <t xml:space="preserve">Текущая средняя загрузка</t>
  </si>
  <si>
    <t xml:space="preserve">Запас прочности</t>
  </si>
  <si>
    <t xml:space="preserve">5. ЛЕСТНИЦА ЗАГРУЗКИ: ГОД В СРЕДНЕМ</t>
  </si>
  <si>
    <t xml:space="preserve">Машин на пост в день, среднее</t>
  </si>
  <si>
    <t xml:space="preserve">Машин в месяц</t>
  </si>
  <si>
    <t xml:space="preserve">Выручка в месяц</t>
  </si>
  <si>
    <t xml:space="preserve">Прибыль до налогов в месяц</t>
  </si>
  <si>
    <t xml:space="preserve">Поток на упрощёнке в месяц</t>
  </si>
  <si>
    <t xml:space="preserve">Поток на общем режиме в месяц</t>
  </si>
  <si>
    <t xml:space="preserve">Окупаемость упрощёнка, лет</t>
  </si>
  <si>
    <t xml:space="preserve">Окупаемость общий, лет</t>
  </si>
  <si>
    <t xml:space="preserve">Жёлтые значения можно менять. Сезонность здесь сглажена: реальный год смотрите на листах «Модель» и «Год».</t>
  </si>
  <si>
    <t xml:space="preserve">6. ЧУВСТВИТЕЛЬНОСТЬ: ПРИБЫЛЬ ДО НАЛОГОВ В МЕСЯЦ, ₸</t>
  </si>
  <si>
    <t xml:space="preserve">Средний чек ↓ / машин на пост в день →</t>
  </si>
  <si>
    <t xml:space="preserve">Чек меняется за счёт цены минуты или времени визита. Красное поле - убыток.</t>
  </si>
  <si>
    <t xml:space="preserve">7. ЗИМА И ВОДА</t>
  </si>
  <si>
    <t xml:space="preserve">Дизель в пиковый месяц мороза</t>
  </si>
  <si>
    <t xml:space="preserve">Только чтобы мойка не замёрзла</t>
  </si>
  <si>
    <t xml:space="preserve">Вода на машину по тарифу 2025, без НДС</t>
  </si>
  <si>
    <t xml:space="preserve">Вода на машину по тарифу 2026, без НДС</t>
  </si>
  <si>
    <t xml:space="preserve">Вода на машину по тарифу 2026, с НДС</t>
  </si>
  <si>
    <t xml:space="preserve">Рост тарифа</t>
  </si>
  <si>
    <t xml:space="preserve">Машин в год по модели</t>
  </si>
  <si>
    <t xml:space="preserve">Дополнительно водоканалу за год из-за нового тарифа</t>
  </si>
  <si>
    <t xml:space="preserve">С НДС. И это не последнее повышение</t>
  </si>
  <si>
    <t xml:space="preserve">ГОДОВОЙ СВОД И ДВА НАЛОГОВЫХ РЕЖИМА</t>
  </si>
  <si>
    <t xml:space="preserve">12 месяцев с сезонностью. Режимы посчитаны параллельно, независимо от переключателя.</t>
  </si>
  <si>
    <t xml:space="preserve">За год</t>
  </si>
  <si>
    <t xml:space="preserve">В месяц</t>
  </si>
  <si>
    <t xml:space="preserve">Комментарий</t>
  </si>
  <si>
    <t xml:space="preserve">ОБЪЁМ И ВЫРУЧКА</t>
  </si>
  <si>
    <t xml:space="preserve">Машин за год</t>
  </si>
  <si>
    <t xml:space="preserve">Машин на пост в день, в среднем</t>
  </si>
  <si>
    <t xml:space="preserve">Выручка</t>
  </si>
  <si>
    <t xml:space="preserve">Выше порога НДС 43,25 млн ₸</t>
  </si>
  <si>
    <t xml:space="preserve">РАСХОДЫ</t>
  </si>
  <si>
    <t xml:space="preserve">Переменные</t>
  </si>
  <si>
    <t xml:space="preserve">Почти всё - в декабре-феврале</t>
  </si>
  <si>
    <t xml:space="preserve">ПРИБЫЛЬ ДО НАЛОГОВ</t>
  </si>
  <si>
    <t xml:space="preserve">Прибыль до налогов и амортизации</t>
  </si>
  <si>
    <t xml:space="preserve">Пиковые месяцы: март, апрель, октябрь, ноябрь</t>
  </si>
  <si>
    <t xml:space="preserve">Доля пиковых месяцев в годовой прибыли</t>
  </si>
  <si>
    <t xml:space="preserve">Четыре месяца делают больше половины года</t>
  </si>
  <si>
    <t xml:space="preserve">Январь + февраль</t>
  </si>
  <si>
    <t xml:space="preserve">Доплачиваете из своего кармана</t>
  </si>
  <si>
    <t xml:space="preserve">Убыточных месяцев</t>
  </si>
  <si>
    <t xml:space="preserve">УПРОЩЁНКА 4%</t>
  </si>
  <si>
    <t xml:space="preserve">Налог</t>
  </si>
  <si>
    <t xml:space="preserve">Денежный поток</t>
  </si>
  <si>
    <t xml:space="preserve">Окупаемость, лет</t>
  </si>
  <si>
    <t xml:space="preserve">ОБЩИЙ РЕЖИМ: НДС 16% + КПН 20%</t>
  </si>
  <si>
    <t xml:space="preserve">ВЫБРАННЫЙ РЕЖИМ</t>
  </si>
  <si>
    <t xml:space="preserve">Чистая прибыль после амортизации</t>
  </si>
  <si>
    <t xml:space="preserve">Накопленный поток на конец года</t>
  </si>
  <si>
    <t xml:space="preserve">Минус - вложения ещё не вернулись</t>
  </si>
  <si>
    <t xml:space="preserve">Разница режимов за год</t>
  </si>
  <si>
    <t xml:space="preserve">Плюс - упрощёнка выгоднее. Выбор делается с бухгалтером до открытия</t>
  </si>
  <si>
    <t xml:space="preserve">ПРОВЕРКА ОБЪЯВЛЕНИЯ О ПРОДАЖЕ МОЙКИ</t>
  </si>
  <si>
    <t xml:space="preserve">Продавец пишет одну цифру. Посчитаем, что она значит, если это прибыль, и если это выручка.</t>
  </si>
  <si>
    <t xml:space="preserve">ОБЪЯВЛЕНИЕ</t>
  </si>
  <si>
    <t xml:space="preserve">Цена мойки</t>
  </si>
  <si>
    <t xml:space="preserve">Готовая мойка самообслуживания на 5 постов в Астане</t>
  </si>
  <si>
    <t xml:space="preserve">Цифра «в месяц» из объявления</t>
  </si>
  <si>
    <t xml:space="preserve">Продавец указывает её и как выручку, и как прибыль</t>
  </si>
  <si>
    <t xml:space="preserve">Заявленная окупаемость</t>
  </si>
  <si>
    <t xml:space="preserve">мес</t>
  </si>
  <si>
    <t xml:space="preserve">Год и восемь месяцев</t>
  </si>
  <si>
    <t xml:space="preserve">ЕСЛИ ЭТО ПРИБЫЛЬ</t>
  </si>
  <si>
    <t xml:space="preserve">Нужно машин на пост в день в среднем за год</t>
  </si>
  <si>
    <t xml:space="preserve">маш</t>
  </si>
  <si>
    <t xml:space="preserve">Это почти апрель, растянутый на 12 месяцев, включая январь</t>
  </si>
  <si>
    <t xml:space="preserve">Окупаемость, если это правда</t>
  </si>
  <si>
    <t xml:space="preserve">ЕСЛИ ЭТО ВЫРУЧКА</t>
  </si>
  <si>
    <t xml:space="preserve">При затратах из этой модели</t>
  </si>
  <si>
    <t xml:space="preserve">Окупаемость до налогов</t>
  </si>
  <si>
    <t xml:space="preserve">Не два года, а около пяти с половиной</t>
  </si>
  <si>
    <t xml:space="preserve">Окупаемость на упрощёнке</t>
  </si>
  <si>
    <t xml:space="preserve">Вопрос продавцу: не «сколько вы зарабатываете», а «покажите выписку по месяцам за прошлый январь и февраль».</t>
  </si>
  <si>
    <t xml:space="preserve">Продавец покажет вам апрель. Покупаете вы январь.</t>
  </si>
  <si>
    <t xml:space="preserve">РЫЧАГИ: КАК СДЕЛАТЬ МОЙКУ ЛУЧШЕ</t>
  </si>
  <si>
    <t xml:space="preserve">Пять рычагов. Эффекты - до налогов, за год, при текущей загрузке из Допущений.</t>
  </si>
  <si>
    <t xml:space="preserve">БАЗА</t>
  </si>
  <si>
    <t xml:space="preserve">Прибыль до налогов за год сейчас</t>
  </si>
  <si>
    <t xml:space="preserve">1. СЕЗОННАЯ ЦЕНА</t>
  </si>
  <si>
    <t xml:space="preserve">Наценка в пиковые месяцы</t>
  </si>
  <si>
    <t xml:space="preserve">В очереди у клиента нет альтернативы. В сезон цену поднимают на 15-20% без потери трафика</t>
  </si>
  <si>
    <t xml:space="preserve">Пиковые месяцы (1 = да)</t>
  </si>
  <si>
    <t xml:space="preserve">Отметьте месяцы справа →</t>
  </si>
  <si>
    <t xml:space="preserve">Прибавка к прибыли за год</t>
  </si>
  <si>
    <t xml:space="preserve">Постоянные затраты не выросли ни на тенге</t>
  </si>
  <si>
    <t xml:space="preserve">2. ДОХОД НА КАЖДОЙ МАШИНЕ</t>
  </si>
  <si>
    <t xml:space="preserve">Доля клиентов, которые берут что-то сверху</t>
  </si>
  <si>
    <t xml:space="preserve">Пылесос, коврики, чернение резины, ароматизатор</t>
  </si>
  <si>
    <t xml:space="preserve">Средний доп. чек</t>
  </si>
  <si>
    <t xml:space="preserve">Маржа доп. услуг</t>
  </si>
  <si>
    <t xml:space="preserve">Себестоимость почти ноль: электричество пылесоса, расходники</t>
  </si>
  <si>
    <t xml:space="preserve">3. ЗАПОЛНИТЬ ЯНВАРЬ: ФЛОТ ПО ДОГОВОРУ</t>
  </si>
  <si>
    <t xml:space="preserve">Машин таксопарка, каршеринга, доставки</t>
  </si>
  <si>
    <t xml:space="preserve">Им нужно мыться всегда, даже зимой</t>
  </si>
  <si>
    <t xml:space="preserve">Моек одной машины в месяц</t>
  </si>
  <si>
    <t xml:space="preserve">раз</t>
  </si>
  <si>
    <t xml:space="preserve">Скидка флоту</t>
  </si>
  <si>
    <t xml:space="preserve">В апреле скидка не нужна. В январе она превращает минус в ноль</t>
  </si>
  <si>
    <t xml:space="preserve">Месяцы договора (1 = да)</t>
  </si>
  <si>
    <t xml:space="preserve">Остаётся с одной мойки флота</t>
  </si>
  <si>
    <t xml:space="preserve">Прибавка в месяц договора</t>
  </si>
  <si>
    <t xml:space="preserve">Сравните с январём на листе «Модель»</t>
  </si>
  <si>
    <t xml:space="preserve">4. ГАЗ И ОБОРОТНАЯ ВОДА</t>
  </si>
  <si>
    <t xml:space="preserve">Экономия на отоплении при газе</t>
  </si>
  <si>
    <t xml:space="preserve">Оценка. Газ есть не на каждом участке: решение принимается при выборе земли</t>
  </si>
  <si>
    <t xml:space="preserve">Подключение газа и котёл</t>
  </si>
  <si>
    <t xml:space="preserve">Оценка, уточните по техусловиям участка</t>
  </si>
  <si>
    <t xml:space="preserve">Экономия на газе за год</t>
  </si>
  <si>
    <t xml:space="preserve">Окупаемость газа</t>
  </si>
  <si>
    <t xml:space="preserve">Экономия воды на оборотной системе</t>
  </si>
  <si>
    <t xml:space="preserve">Оценка. Страховка от следующего тарифа</t>
  </si>
  <si>
    <t xml:space="preserve">Система оборотной воды</t>
  </si>
  <si>
    <t xml:space="preserve">Оценка, сверх очистки воды из сметы</t>
  </si>
  <si>
    <t xml:space="preserve">Экономия на воде за год</t>
  </si>
  <si>
    <t xml:space="preserve">Окупаемость оборотки</t>
  </si>
  <si>
    <t xml:space="preserve">Не экономия, а защита: главная зимняя статья и статья, которая дорожает</t>
  </si>
  <si>
    <t xml:space="preserve">5. МЕСТО НА МАРШРУТЕ</t>
  </si>
  <si>
    <t xml:space="preserve">Прибавка машин на пост в день в среднем</t>
  </si>
  <si>
    <t xml:space="preserve">Выезд из спального района, дорога к трассе, рядом с заправкой. Важен сентябрь, когда очереди нет нигде</t>
  </si>
  <si>
    <t xml:space="preserve">ИТОГО</t>
  </si>
  <si>
    <t xml:space="preserve">Прибыль до налогов со всеми рычагами</t>
  </si>
  <si>
    <t xml:space="preserve">Рост к базе</t>
  </si>
  <si>
    <t xml:space="preserve">Эффекты считаются независимо и до налогов. Вложения в газ и оборотку в итог не вычтены.</t>
  </si>
  <si>
    <t xml:space="preserve">РУЧНАЯ МОЙКА: БИЗНЕС ПРО ЛЮДЕЙ</t>
  </si>
  <si>
    <t xml:space="preserve">Три поста в арендованном боксе. Для сравнения с самообслуживанием.</t>
  </si>
  <si>
    <t xml:space="preserve">ВВОДНЫЕ</t>
  </si>
  <si>
    <t xml:space="preserve">Комплекс для седана в Астане 3 000-6 500 ₸</t>
  </si>
  <si>
    <t xml:space="preserve">Машин в день</t>
  </si>
  <si>
    <t xml:space="preserve">На три поста</t>
  </si>
  <si>
    <t xml:space="preserve">Дней в месяце</t>
  </si>
  <si>
    <t xml:space="preserve">Процент мойщикам</t>
  </si>
  <si>
    <t xml:space="preserve">Обычно 30-40% от чека</t>
  </si>
  <si>
    <t xml:space="preserve">Химия и вода на машину</t>
  </si>
  <si>
    <t xml:space="preserve">Аренда бокса</t>
  </si>
  <si>
    <t xml:space="preserve">Администраторы с налогами</t>
  </si>
  <si>
    <t xml:space="preserve">Отопление и коммунальные</t>
  </si>
  <si>
    <t xml:space="preserve">В среднем за год</t>
  </si>
  <si>
    <t xml:space="preserve">Прочее</t>
  </si>
  <si>
    <t xml:space="preserve">Доля левых машин</t>
  </si>
  <si>
    <t xml:space="preserve">% от кассы</t>
  </si>
  <si>
    <t xml:space="preserve">Мойщик моет машину знакомого мимо кассы. Ваша вода, химия и бокс - деньги у него</t>
  </si>
  <si>
    <t xml:space="preserve">РАСЧЁТ, ₸ В МЕСЯЦ</t>
  </si>
  <si>
    <t xml:space="preserve">Машин в месяц по кассе</t>
  </si>
  <si>
    <t xml:space="preserve">Больше, чем у самообслуживания на 5 постах</t>
  </si>
  <si>
    <t xml:space="preserve">Мойщикам</t>
  </si>
  <si>
    <t xml:space="preserve">Химия и вода</t>
  </si>
  <si>
    <t xml:space="preserve">Аренда, администраторы, отопление, прочее</t>
  </si>
  <si>
    <t xml:space="preserve">Маржа</t>
  </si>
  <si>
    <t xml:space="preserve">У самообслуживания - см. «Год»</t>
  </si>
  <si>
    <t xml:space="preserve">ЛЕВЫЕ МАШИНЫ</t>
  </si>
  <si>
    <t xml:space="preserve">Левых машин в месяц</t>
  </si>
  <si>
    <t xml:space="preserve">Упущенная маржа</t>
  </si>
  <si>
    <t xml:space="preserve">Сколько вы бы заработали на этих машинах</t>
  </si>
  <si>
    <t xml:space="preserve">Ваша химия и вода на чужих клиентов</t>
  </si>
  <si>
    <t xml:space="preserve">Этот расход уже сидит в вашей себестоимости</t>
  </si>
  <si>
    <t xml:space="preserve">ПОТЕРИ ОТ ЛЕВЫХ МАШИН</t>
  </si>
  <si>
    <t xml:space="preserve">Машины, которой нет в кассе, для вас не существует</t>
  </si>
  <si>
    <t xml:space="preserve">Доля от прибыли</t>
  </si>
  <si>
    <t xml:space="preserve">Ручная мойка - бизнес про людей. Самообслуживание - бизнес про погоду. Вы выбираете, какой риск проще терпеть.</t>
  </si>
  <si>
    <t xml:space="preserve">ДАШБОРД СОБСТВЕННИКА - 8 ЦИФР</t>
  </si>
  <si>
    <t xml:space="preserve">Всё, что нужно смотреть каждый месяц</t>
  </si>
  <si>
    <t xml:space="preserve">1. Машин на пост в день</t>
  </si>
  <si>
    <t xml:space="preserve">2. Выручка, тыс ₸</t>
  </si>
  <si>
    <t xml:space="preserve">3. Переменные, тыс ₸</t>
  </si>
  <si>
    <t xml:space="preserve">4. Постоянные без отопления, тыс ₸</t>
  </si>
  <si>
    <t xml:space="preserve">5. Отопление, тыс ₸</t>
  </si>
  <si>
    <t xml:space="preserve">6. Налоги, тыс ₸</t>
  </si>
  <si>
    <t xml:space="preserve">7. Денежный поток, тыс ₸</t>
  </si>
  <si>
    <t xml:space="preserve">8. Накопленный поток, тыс ₸</t>
  </si>
  <si>
    <t xml:space="preserve">Что смотреть в первую очередь</t>
  </si>
  <si>
    <t xml:space="preserve">Строка 1 ниже точки безубыточности с листа «Безубыток» - месяц убыточный.</t>
  </si>
  <si>
    <t xml:space="preserve">Строка 5 - главная зимняя статья. Она максимальна ровно тогда, когда выручка минимальна.</t>
  </si>
  <si>
    <t xml:space="preserve">Строка 7: деньги на январскую аренду и зарплаты вы зарабатываете в апреле. Если в апреле потратили - в январе платить нечем.</t>
  </si>
  <si>
    <t xml:space="preserve">Это бизнес с урожаем: собрал, сохранил, дожил до следующего сезона.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</si>
</sst>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#,##0.0;\(#,##0.0\);\-"/>
    <numFmt numFmtId="167" formatCode="0.0%"/>
    <numFmt numFmtId="168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color rgb="FF666666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DDEBF7"/>
      </patternFill>
    </fill>
    <fill>
      <patternFill patternType="solid">
        <fgColor rgb="FF1F3864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F2F2F2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2"/>
  </cols>
  <sheetData>
    <row r="1" customFormat="false" ht="17.3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15" hidden="false" customHeight="false" outlineLevel="0" collapsed="false">
      <c r="B5" s="3" t="s">
        <v>3</v>
      </c>
    </row>
    <row r="6" customFormat="false" ht="15" hidden="false" customHeight="false" outlineLevel="0" collapsed="false">
      <c r="B6" s="3" t="s">
        <v>4</v>
      </c>
    </row>
    <row r="7" customFormat="false" ht="15" hidden="false" customHeight="false" outlineLevel="0" collapsed="false">
      <c r="B7" s="3" t="s">
        <v>5</v>
      </c>
    </row>
    <row r="8" customFormat="false" ht="15" hidden="false" customHeight="false" outlineLevel="0" collapsed="false">
      <c r="B8" s="3" t="s">
        <v>6</v>
      </c>
    </row>
    <row r="9" customFormat="false" ht="15" hidden="false" customHeight="false" outlineLevel="0" collapsed="false">
      <c r="B9" s="3" t="s">
        <v>7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8</v>
      </c>
    </row>
    <row r="12" customFormat="false" ht="15" hidden="false" customHeight="false" outlineLevel="0" collapsed="false">
      <c r="B12" s="3" t="s">
        <v>9</v>
      </c>
    </row>
    <row r="13" customFormat="false" ht="15" hidden="false" customHeight="false" outlineLevel="0" collapsed="false">
      <c r="B13" s="3" t="s">
        <v>10</v>
      </c>
    </row>
    <row r="14" customFormat="false" ht="15" hidden="false" customHeight="false" outlineLevel="0" collapsed="false">
      <c r="B14" s="3" t="s">
        <v>11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 t="s">
        <v>14</v>
      </c>
    </row>
    <row r="19" customFormat="false" ht="15" hidden="false" customHeight="false" outlineLevel="0" collapsed="false">
      <c r="B19" s="3" t="s">
        <v>15</v>
      </c>
    </row>
    <row r="20" customFormat="false" ht="15" hidden="false" customHeight="false" outlineLevel="0" collapsed="false">
      <c r="B20" s="3" t="s">
        <v>16</v>
      </c>
    </row>
    <row r="21" customFormat="false" ht="15" hidden="false" customHeight="false" outlineLevel="0" collapsed="false">
      <c r="B21" s="3" t="s">
        <v>17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4" t="s">
        <v>18</v>
      </c>
    </row>
    <row r="24" customFormat="false" ht="15" hidden="false" customHeight="false" outlineLevel="0" collapsed="false">
      <c r="B24" s="3" t="s">
        <v>19</v>
      </c>
    </row>
    <row r="25" customFormat="false" ht="15" hidden="false" customHeight="false" outlineLevel="0" collapsed="false">
      <c r="B25" s="3" t="s">
        <v>20</v>
      </c>
    </row>
    <row r="26" customFormat="false" ht="15" hidden="false" customHeight="false" outlineLevel="0" collapsed="false">
      <c r="B26" s="3" t="s">
        <v>21</v>
      </c>
    </row>
    <row r="27" customFormat="false" ht="15" hidden="false" customHeight="false" outlineLevel="0" collapsed="false">
      <c r="B27" s="3" t="s">
        <v>22</v>
      </c>
    </row>
    <row r="28" customFormat="false" ht="15" hidden="false" customHeight="false" outlineLevel="0" collapsed="false">
      <c r="B28" s="3"/>
    </row>
    <row r="29" customFormat="false" ht="15" hidden="false" customHeight="false" outlineLevel="0" collapsed="false">
      <c r="B29" s="4" t="s">
        <v>23</v>
      </c>
    </row>
    <row r="30" customFormat="false" ht="15" hidden="false" customHeight="false" outlineLevel="0" collapsed="false">
      <c r="B30" s="3" t="s">
        <v>24</v>
      </c>
    </row>
    <row r="31" customFormat="false" ht="15" hidden="false" customHeight="false" outlineLevel="0" collapsed="false">
      <c r="B31" s="3" t="s">
        <v>25</v>
      </c>
    </row>
    <row r="32" customFormat="false" ht="15" hidden="false" customHeight="false" outlineLevel="0" collapsed="false">
      <c r="B32" s="3" t="s">
        <v>26</v>
      </c>
    </row>
    <row r="33" customFormat="false" ht="15" hidden="false" customHeight="false" outlineLevel="0" collapsed="false">
      <c r="B33" s="3"/>
    </row>
    <row r="34" customFormat="false" ht="15" hidden="false" customHeight="false" outlineLevel="0" collapsed="false">
      <c r="B34" s="3" t="s">
        <v>27</v>
      </c>
    </row>
    <row r="35" customFormat="false" ht="15" hidden="false" customHeight="false" outlineLevel="0" collapsed="false">
      <c r="B35" s="3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90"/>
  </cols>
  <sheetData>
    <row r="1" customFormat="false" ht="17.35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3" customFormat="false" ht="15" hidden="false" customHeight="false" outlineLevel="0" collapsed="false">
      <c r="A3" s="5" t="s">
        <v>31</v>
      </c>
      <c r="B3" s="5" t="s">
        <v>32</v>
      </c>
      <c r="C3" s="5" t="s">
        <v>33</v>
      </c>
      <c r="D3" s="5" t="s">
        <v>34</v>
      </c>
    </row>
    <row r="4" customFormat="false" ht="15" hidden="false" customHeight="false" outlineLevel="0" collapsed="false">
      <c r="A4" s="6" t="s">
        <v>35</v>
      </c>
      <c r="B4" s="7"/>
      <c r="C4" s="7"/>
      <c r="D4" s="7"/>
    </row>
    <row r="5" customFormat="false" ht="15" hidden="false" customHeight="false" outlineLevel="0" collapsed="false">
      <c r="A5" s="3" t="s">
        <v>36</v>
      </c>
      <c r="B5" s="8" t="n">
        <v>5</v>
      </c>
      <c r="C5" s="3" t="s">
        <v>37</v>
      </c>
      <c r="D5" s="9" t="s">
        <v>38</v>
      </c>
    </row>
    <row r="6" customFormat="false" ht="15" hidden="false" customHeight="false" outlineLevel="0" collapsed="false">
      <c r="A6" s="3" t="s">
        <v>39</v>
      </c>
      <c r="B6" s="8" t="n">
        <v>30</v>
      </c>
      <c r="C6" s="3" t="s">
        <v>40</v>
      </c>
      <c r="D6" s="9" t="s">
        <v>41</v>
      </c>
    </row>
    <row r="7" customFormat="false" ht="23.85" hidden="false" customHeight="false" outlineLevel="0" collapsed="false">
      <c r="A7" s="3" t="s">
        <v>42</v>
      </c>
      <c r="B7" s="8" t="n">
        <v>1500</v>
      </c>
      <c r="C7" s="3" t="s">
        <v>43</v>
      </c>
      <c r="D7" s="9" t="s">
        <v>44</v>
      </c>
    </row>
    <row r="9" customFormat="false" ht="15" hidden="false" customHeight="false" outlineLevel="0" collapsed="false">
      <c r="A9" s="6" t="s">
        <v>45</v>
      </c>
      <c r="B9" s="7"/>
      <c r="C9" s="7"/>
      <c r="D9" s="7"/>
    </row>
    <row r="10" customFormat="false" ht="15" hidden="false" customHeight="false" outlineLevel="0" collapsed="false">
      <c r="A10" s="3" t="s">
        <v>46</v>
      </c>
      <c r="B10" s="8" t="n">
        <v>12</v>
      </c>
      <c r="C10" s="3" t="s">
        <v>47</v>
      </c>
      <c r="D10" s="9" t="s">
        <v>48</v>
      </c>
    </row>
    <row r="11" customFormat="false" ht="15" hidden="false" customHeight="false" outlineLevel="0" collapsed="false">
      <c r="A11" s="3" t="s">
        <v>49</v>
      </c>
      <c r="B11" s="8" t="n">
        <v>12</v>
      </c>
      <c r="C11" s="3" t="s">
        <v>47</v>
      </c>
      <c r="D11" s="9" t="s">
        <v>50</v>
      </c>
    </row>
    <row r="12" customFormat="false" ht="15" hidden="false" customHeight="false" outlineLevel="0" collapsed="false">
      <c r="A12" s="3" t="s">
        <v>51</v>
      </c>
      <c r="B12" s="8" t="n">
        <v>26</v>
      </c>
      <c r="C12" s="3" t="s">
        <v>47</v>
      </c>
      <c r="D12" s="9" t="s">
        <v>52</v>
      </c>
    </row>
    <row r="13" customFormat="false" ht="15" hidden="false" customHeight="false" outlineLevel="0" collapsed="false">
      <c r="A13" s="3" t="s">
        <v>53</v>
      </c>
      <c r="B13" s="8" t="n">
        <v>30</v>
      </c>
      <c r="C13" s="3" t="s">
        <v>47</v>
      </c>
      <c r="D13" s="9" t="s">
        <v>54</v>
      </c>
    </row>
    <row r="14" customFormat="false" ht="15" hidden="false" customHeight="false" outlineLevel="0" collapsed="false">
      <c r="A14" s="3" t="s">
        <v>55</v>
      </c>
      <c r="B14" s="8" t="n">
        <v>20</v>
      </c>
      <c r="C14" s="3" t="s">
        <v>47</v>
      </c>
      <c r="D14" s="9" t="s">
        <v>56</v>
      </c>
    </row>
    <row r="15" customFormat="false" ht="15" hidden="false" customHeight="false" outlineLevel="0" collapsed="false">
      <c r="A15" s="3" t="s">
        <v>57</v>
      </c>
      <c r="B15" s="8" t="n">
        <v>17</v>
      </c>
      <c r="C15" s="3" t="s">
        <v>47</v>
      </c>
      <c r="D15" s="9" t="s">
        <v>58</v>
      </c>
    </row>
    <row r="16" customFormat="false" ht="15" hidden="false" customHeight="false" outlineLevel="0" collapsed="false">
      <c r="A16" s="3" t="s">
        <v>59</v>
      </c>
      <c r="B16" s="8" t="n">
        <v>16</v>
      </c>
      <c r="C16" s="3" t="s">
        <v>47</v>
      </c>
      <c r="D16" s="9" t="s">
        <v>60</v>
      </c>
    </row>
    <row r="17" customFormat="false" ht="15" hidden="false" customHeight="false" outlineLevel="0" collapsed="false">
      <c r="A17" s="3" t="s">
        <v>61</v>
      </c>
      <c r="B17" s="8" t="n">
        <v>17</v>
      </c>
      <c r="C17" s="3" t="s">
        <v>47</v>
      </c>
      <c r="D17" s="9" t="s">
        <v>62</v>
      </c>
    </row>
    <row r="18" customFormat="false" ht="15" hidden="false" customHeight="false" outlineLevel="0" collapsed="false">
      <c r="A18" s="3" t="s">
        <v>63</v>
      </c>
      <c r="B18" s="8" t="n">
        <v>20</v>
      </c>
      <c r="C18" s="3" t="s">
        <v>47</v>
      </c>
      <c r="D18" s="9" t="s">
        <v>64</v>
      </c>
    </row>
    <row r="19" customFormat="false" ht="15" hidden="false" customHeight="false" outlineLevel="0" collapsed="false">
      <c r="A19" s="3" t="s">
        <v>65</v>
      </c>
      <c r="B19" s="8" t="n">
        <v>27</v>
      </c>
      <c r="C19" s="3" t="s">
        <v>47</v>
      </c>
      <c r="D19" s="9" t="s">
        <v>66</v>
      </c>
    </row>
    <row r="20" customFormat="false" ht="15" hidden="false" customHeight="false" outlineLevel="0" collapsed="false">
      <c r="A20" s="3" t="s">
        <v>67</v>
      </c>
      <c r="B20" s="8" t="n">
        <v>24</v>
      </c>
      <c r="C20" s="3" t="s">
        <v>47</v>
      </c>
      <c r="D20" s="9" t="s">
        <v>68</v>
      </c>
    </row>
    <row r="21" customFormat="false" ht="15" hidden="false" customHeight="false" outlineLevel="0" collapsed="false">
      <c r="A21" s="3" t="s">
        <v>69</v>
      </c>
      <c r="B21" s="8" t="n">
        <v>19</v>
      </c>
      <c r="C21" s="3" t="s">
        <v>47</v>
      </c>
      <c r="D21" s="9" t="s">
        <v>70</v>
      </c>
    </row>
    <row r="22" customFormat="false" ht="15" hidden="false" customHeight="false" outlineLevel="0" collapsed="false">
      <c r="A22" s="10" t="s">
        <v>71</v>
      </c>
      <c r="B22" s="11" t="n">
        <f aca="false">AVERAGE(B10:B21)</f>
        <v>20</v>
      </c>
      <c r="D22" s="12" t="s">
        <v>72</v>
      </c>
    </row>
    <row r="24" customFormat="false" ht="15" hidden="false" customHeight="false" outlineLevel="0" collapsed="false">
      <c r="A24" s="6" t="s">
        <v>73</v>
      </c>
      <c r="B24" s="7"/>
      <c r="C24" s="7"/>
      <c r="D24" s="7"/>
    </row>
    <row r="25" customFormat="false" ht="15" hidden="false" customHeight="false" outlineLevel="0" collapsed="false">
      <c r="A25" s="3" t="s">
        <v>74</v>
      </c>
      <c r="B25" s="8" t="n">
        <v>80</v>
      </c>
      <c r="C25" s="3" t="s">
        <v>75</v>
      </c>
      <c r="D25" s="9" t="s">
        <v>76</v>
      </c>
    </row>
    <row r="26" customFormat="false" ht="15" hidden="false" customHeight="false" outlineLevel="0" collapsed="false">
      <c r="A26" s="3" t="s">
        <v>77</v>
      </c>
      <c r="B26" s="8" t="n">
        <v>967</v>
      </c>
      <c r="C26" s="3" t="s">
        <v>78</v>
      </c>
      <c r="D26" s="9" t="s">
        <v>79</v>
      </c>
    </row>
    <row r="27" customFormat="false" ht="15" hidden="false" customHeight="false" outlineLevel="0" collapsed="false">
      <c r="A27" s="3" t="s">
        <v>80</v>
      </c>
      <c r="B27" s="8" t="n">
        <v>658</v>
      </c>
      <c r="C27" s="3" t="s">
        <v>78</v>
      </c>
      <c r="D27" s="9" t="s">
        <v>81</v>
      </c>
    </row>
    <row r="28" customFormat="false" ht="15" hidden="false" customHeight="false" outlineLevel="0" collapsed="false">
      <c r="A28" s="3" t="s">
        <v>82</v>
      </c>
      <c r="B28" s="13" t="n">
        <v>0.16</v>
      </c>
      <c r="C28" s="3" t="s">
        <v>83</v>
      </c>
      <c r="D28" s="9" t="s">
        <v>84</v>
      </c>
    </row>
    <row r="29" customFormat="false" ht="15" hidden="false" customHeight="false" outlineLevel="0" collapsed="false">
      <c r="A29" s="3" t="s">
        <v>85</v>
      </c>
      <c r="B29" s="8" t="n">
        <v>100</v>
      </c>
      <c r="C29" s="3" t="s">
        <v>86</v>
      </c>
      <c r="D29" s="9"/>
    </row>
    <row r="30" customFormat="false" ht="15" hidden="false" customHeight="false" outlineLevel="0" collapsed="false">
      <c r="A30" s="3" t="s">
        <v>87</v>
      </c>
      <c r="B30" s="8" t="n">
        <v>25</v>
      </c>
      <c r="C30" s="3" t="s">
        <v>86</v>
      </c>
      <c r="D30" s="9"/>
    </row>
    <row r="31" customFormat="false" ht="15" hidden="false" customHeight="false" outlineLevel="0" collapsed="false">
      <c r="A31" s="3" t="s">
        <v>88</v>
      </c>
      <c r="B31" s="13" t="n">
        <v>0.01</v>
      </c>
      <c r="C31" s="3" t="s">
        <v>89</v>
      </c>
      <c r="D31" s="9" t="s">
        <v>90</v>
      </c>
    </row>
    <row r="33" customFormat="false" ht="15" hidden="false" customHeight="false" outlineLevel="0" collapsed="false">
      <c r="A33" s="6" t="s">
        <v>91</v>
      </c>
      <c r="B33" s="7"/>
      <c r="C33" s="7"/>
      <c r="D33" s="7"/>
    </row>
    <row r="34" customFormat="false" ht="15" hidden="false" customHeight="false" outlineLevel="0" collapsed="false">
      <c r="A34" s="3" t="s">
        <v>92</v>
      </c>
      <c r="B34" s="8" t="n">
        <v>400000</v>
      </c>
      <c r="C34" s="3" t="s">
        <v>93</v>
      </c>
      <c r="D34" s="9" t="s">
        <v>94</v>
      </c>
    </row>
    <row r="35" customFormat="false" ht="15" hidden="false" customHeight="false" outlineLevel="0" collapsed="false">
      <c r="A35" s="3" t="s">
        <v>95</v>
      </c>
      <c r="B35" s="8" t="n">
        <v>650000</v>
      </c>
      <c r="C35" s="3" t="s">
        <v>93</v>
      </c>
      <c r="D35" s="9" t="s">
        <v>96</v>
      </c>
    </row>
    <row r="36" customFormat="false" ht="15" hidden="false" customHeight="false" outlineLevel="0" collapsed="false">
      <c r="A36" s="3" t="s">
        <v>97</v>
      </c>
      <c r="B36" s="8" t="n">
        <v>150000</v>
      </c>
      <c r="C36" s="3" t="s">
        <v>93</v>
      </c>
      <c r="D36" s="9" t="s">
        <v>98</v>
      </c>
    </row>
    <row r="37" customFormat="false" ht="15" hidden="false" customHeight="false" outlineLevel="0" collapsed="false">
      <c r="A37" s="3" t="s">
        <v>99</v>
      </c>
      <c r="B37" s="8" t="n">
        <v>80000</v>
      </c>
      <c r="C37" s="3" t="s">
        <v>93</v>
      </c>
      <c r="D37" s="9"/>
    </row>
    <row r="38" customFormat="false" ht="15" hidden="false" customHeight="false" outlineLevel="0" collapsed="false">
      <c r="A38" s="3" t="s">
        <v>100</v>
      </c>
      <c r="B38" s="8" t="n">
        <v>200000</v>
      </c>
      <c r="C38" s="3" t="s">
        <v>93</v>
      </c>
      <c r="D38" s="9" t="s">
        <v>101</v>
      </c>
    </row>
    <row r="39" customFormat="false" ht="15" hidden="false" customHeight="false" outlineLevel="0" collapsed="false">
      <c r="A39" s="3" t="s">
        <v>102</v>
      </c>
      <c r="B39" s="8" t="n">
        <v>100000</v>
      </c>
      <c r="C39" s="3" t="s">
        <v>93</v>
      </c>
      <c r="D39" s="9"/>
    </row>
    <row r="41" customFormat="false" ht="15" hidden="false" customHeight="false" outlineLevel="0" collapsed="false">
      <c r="A41" s="6" t="s">
        <v>103</v>
      </c>
      <c r="B41" s="7"/>
      <c r="C41" s="7"/>
      <c r="D41" s="7"/>
    </row>
    <row r="42" customFormat="false" ht="15" hidden="false" customHeight="false" outlineLevel="0" collapsed="false">
      <c r="A42" s="3" t="s">
        <v>104</v>
      </c>
      <c r="B42" s="8" t="n">
        <v>900000</v>
      </c>
      <c r="C42" s="3" t="s">
        <v>93</v>
      </c>
      <c r="D42" s="9" t="s">
        <v>105</v>
      </c>
    </row>
    <row r="43" customFormat="false" ht="15" hidden="false" customHeight="false" outlineLevel="0" collapsed="false">
      <c r="A43" s="3" t="s">
        <v>106</v>
      </c>
      <c r="B43" s="8" t="n">
        <v>850000</v>
      </c>
      <c r="C43" s="3" t="s">
        <v>93</v>
      </c>
      <c r="D43" s="9" t="s">
        <v>107</v>
      </c>
    </row>
    <row r="44" customFormat="false" ht="15" hidden="false" customHeight="false" outlineLevel="0" collapsed="false">
      <c r="A44" s="3" t="s">
        <v>108</v>
      </c>
      <c r="B44" s="8" t="n">
        <v>500000</v>
      </c>
      <c r="C44" s="3" t="s">
        <v>93</v>
      </c>
      <c r="D44" s="9" t="s">
        <v>109</v>
      </c>
    </row>
    <row r="45" customFormat="false" ht="15" hidden="false" customHeight="false" outlineLevel="0" collapsed="false">
      <c r="A45" s="3" t="s">
        <v>110</v>
      </c>
      <c r="B45" s="8" t="n">
        <v>180000</v>
      </c>
      <c r="C45" s="3" t="s">
        <v>93</v>
      </c>
      <c r="D45" s="9" t="s">
        <v>111</v>
      </c>
    </row>
    <row r="46" customFormat="false" ht="15" hidden="false" customHeight="false" outlineLevel="0" collapsed="false">
      <c r="A46" s="3" t="s">
        <v>112</v>
      </c>
      <c r="B46" s="8" t="n">
        <v>0</v>
      </c>
      <c r="C46" s="3" t="s">
        <v>93</v>
      </c>
      <c r="D46" s="9"/>
    </row>
    <row r="47" customFormat="false" ht="15" hidden="false" customHeight="false" outlineLevel="0" collapsed="false">
      <c r="A47" s="3" t="s">
        <v>113</v>
      </c>
      <c r="B47" s="8" t="n">
        <v>0</v>
      </c>
      <c r="C47" s="3" t="s">
        <v>93</v>
      </c>
      <c r="D47" s="9"/>
    </row>
    <row r="48" customFormat="false" ht="15" hidden="false" customHeight="false" outlineLevel="0" collapsed="false">
      <c r="A48" s="3" t="s">
        <v>114</v>
      </c>
      <c r="B48" s="8" t="n">
        <v>0</v>
      </c>
      <c r="C48" s="3" t="s">
        <v>93</v>
      </c>
      <c r="D48" s="9"/>
    </row>
    <row r="49" customFormat="false" ht="15" hidden="false" customHeight="false" outlineLevel="0" collapsed="false">
      <c r="A49" s="3" t="s">
        <v>115</v>
      </c>
      <c r="B49" s="8" t="n">
        <v>0</v>
      </c>
      <c r="C49" s="3" t="s">
        <v>93</v>
      </c>
      <c r="D49" s="9"/>
    </row>
    <row r="50" customFormat="false" ht="15" hidden="false" customHeight="false" outlineLevel="0" collapsed="false">
      <c r="A50" s="3" t="s">
        <v>116</v>
      </c>
      <c r="B50" s="8" t="n">
        <v>0</v>
      </c>
      <c r="C50" s="3" t="s">
        <v>93</v>
      </c>
      <c r="D50" s="9"/>
    </row>
    <row r="51" customFormat="false" ht="15" hidden="false" customHeight="false" outlineLevel="0" collapsed="false">
      <c r="A51" s="3" t="s">
        <v>117</v>
      </c>
      <c r="B51" s="8" t="n">
        <v>300000</v>
      </c>
      <c r="C51" s="3" t="s">
        <v>93</v>
      </c>
      <c r="D51" s="9" t="s">
        <v>118</v>
      </c>
    </row>
    <row r="52" customFormat="false" ht="15" hidden="false" customHeight="false" outlineLevel="0" collapsed="false">
      <c r="A52" s="3" t="s">
        <v>119</v>
      </c>
      <c r="B52" s="8" t="n">
        <v>650000</v>
      </c>
      <c r="C52" s="3" t="s">
        <v>93</v>
      </c>
      <c r="D52" s="9" t="s">
        <v>120</v>
      </c>
    </row>
    <row r="53" customFormat="false" ht="15" hidden="false" customHeight="false" outlineLevel="0" collapsed="false">
      <c r="A53" s="3" t="s">
        <v>121</v>
      </c>
      <c r="B53" s="8" t="n">
        <v>820000</v>
      </c>
      <c r="C53" s="3" t="s">
        <v>93</v>
      </c>
      <c r="D53" s="9" t="s">
        <v>107</v>
      </c>
    </row>
    <row r="54" customFormat="false" ht="15" hidden="false" customHeight="false" outlineLevel="0" collapsed="false">
      <c r="A54" s="10" t="s">
        <v>122</v>
      </c>
      <c r="B54" s="14" t="n">
        <f aca="false">SUM(B42:B53)</f>
        <v>4200000</v>
      </c>
      <c r="D54" s="12" t="s">
        <v>123</v>
      </c>
    </row>
    <row r="55" customFormat="false" ht="15" hidden="false" customHeight="false" outlineLevel="0" collapsed="false">
      <c r="A55" s="3" t="s">
        <v>124</v>
      </c>
      <c r="B55" s="8" t="n">
        <v>100</v>
      </c>
      <c r="C55" s="3" t="s">
        <v>125</v>
      </c>
      <c r="D55" s="9" t="s">
        <v>126</v>
      </c>
    </row>
    <row r="56" customFormat="false" ht="15" hidden="false" customHeight="false" outlineLevel="0" collapsed="false">
      <c r="A56" s="3" t="s">
        <v>127</v>
      </c>
      <c r="B56" s="8" t="n">
        <v>345</v>
      </c>
      <c r="C56" s="3" t="s">
        <v>128</v>
      </c>
      <c r="D56" s="9"/>
    </row>
    <row r="58" customFormat="false" ht="15" hidden="false" customHeight="false" outlineLevel="0" collapsed="false">
      <c r="A58" s="6" t="s">
        <v>129</v>
      </c>
      <c r="B58" s="7"/>
      <c r="C58" s="7"/>
      <c r="D58" s="7"/>
    </row>
    <row r="59" customFormat="false" ht="23.85" hidden="false" customHeight="false" outlineLevel="0" collapsed="false">
      <c r="A59" s="3" t="s">
        <v>130</v>
      </c>
      <c r="B59" s="15" t="n">
        <v>2</v>
      </c>
      <c r="C59" s="3" t="s">
        <v>131</v>
      </c>
      <c r="D59" s="9" t="s">
        <v>132</v>
      </c>
    </row>
    <row r="60" customFormat="false" ht="15" hidden="false" customHeight="false" outlineLevel="0" collapsed="false">
      <c r="A60" s="3" t="s">
        <v>133</v>
      </c>
      <c r="B60" s="13" t="n">
        <v>0.04</v>
      </c>
      <c r="C60" s="3" t="s">
        <v>134</v>
      </c>
      <c r="D60" s="9" t="s">
        <v>135</v>
      </c>
    </row>
    <row r="61" customFormat="false" ht="15" hidden="false" customHeight="false" outlineLevel="0" collapsed="false">
      <c r="A61" s="3" t="s">
        <v>136</v>
      </c>
      <c r="B61" s="13" t="n">
        <v>0.16</v>
      </c>
      <c r="C61" s="3" t="s">
        <v>83</v>
      </c>
      <c r="D61" s="9" t="s">
        <v>137</v>
      </c>
    </row>
    <row r="62" customFormat="false" ht="15" hidden="false" customHeight="false" outlineLevel="0" collapsed="false">
      <c r="A62" s="3" t="s">
        <v>138</v>
      </c>
      <c r="B62" s="8" t="n">
        <v>43250000</v>
      </c>
      <c r="C62" s="3" t="s">
        <v>139</v>
      </c>
      <c r="D62" s="9" t="s">
        <v>140</v>
      </c>
    </row>
    <row r="63" customFormat="false" ht="15" hidden="false" customHeight="false" outlineLevel="0" collapsed="false">
      <c r="A63" s="3" t="s">
        <v>141</v>
      </c>
      <c r="B63" s="13" t="n">
        <v>0.2</v>
      </c>
      <c r="C63" s="3" t="s">
        <v>83</v>
      </c>
      <c r="D63" s="9" t="s">
        <v>142</v>
      </c>
    </row>
    <row r="65" customFormat="false" ht="15" hidden="false" customHeight="false" outlineLevel="0" collapsed="false">
      <c r="A65" s="6" t="s">
        <v>143</v>
      </c>
      <c r="B65" s="7"/>
      <c r="C65" s="7"/>
      <c r="D65" s="7"/>
    </row>
    <row r="66" customFormat="false" ht="23.85" hidden="false" customHeight="false" outlineLevel="0" collapsed="false">
      <c r="A66" s="3" t="s">
        <v>144</v>
      </c>
      <c r="B66" s="8" t="n">
        <v>20000000</v>
      </c>
      <c r="C66" s="3" t="s">
        <v>43</v>
      </c>
      <c r="D66" s="9" t="s">
        <v>145</v>
      </c>
    </row>
    <row r="67" customFormat="false" ht="15" hidden="false" customHeight="false" outlineLevel="0" collapsed="false">
      <c r="A67" s="3" t="s">
        <v>146</v>
      </c>
      <c r="B67" s="8" t="n">
        <v>20000000</v>
      </c>
      <c r="C67" s="3" t="s">
        <v>43</v>
      </c>
      <c r="D67" s="9" t="s">
        <v>147</v>
      </c>
    </row>
    <row r="68" customFormat="false" ht="15" hidden="false" customHeight="false" outlineLevel="0" collapsed="false">
      <c r="A68" s="3" t="s">
        <v>148</v>
      </c>
      <c r="B68" s="8" t="n">
        <v>7000000</v>
      </c>
      <c r="C68" s="3" t="s">
        <v>43</v>
      </c>
      <c r="D68" s="9" t="s">
        <v>149</v>
      </c>
    </row>
    <row r="69" customFormat="false" ht="15" hidden="false" customHeight="false" outlineLevel="0" collapsed="false">
      <c r="A69" s="3" t="s">
        <v>150</v>
      </c>
      <c r="B69" s="8" t="n">
        <v>4000000</v>
      </c>
      <c r="C69" s="3" t="s">
        <v>43</v>
      </c>
      <c r="D69" s="9" t="s">
        <v>151</v>
      </c>
    </row>
    <row r="70" customFormat="false" ht="15" hidden="false" customHeight="false" outlineLevel="0" collapsed="false">
      <c r="A70" s="3" t="s">
        <v>152</v>
      </c>
      <c r="B70" s="8" t="n">
        <v>2000000</v>
      </c>
      <c r="C70" s="3" t="s">
        <v>43</v>
      </c>
      <c r="D70" s="9"/>
    </row>
    <row r="71" customFormat="false" ht="15" hidden="false" customHeight="false" outlineLevel="0" collapsed="false">
      <c r="A71" s="3" t="s">
        <v>153</v>
      </c>
      <c r="B71" s="8" t="n">
        <v>7000000</v>
      </c>
      <c r="C71" s="3" t="s">
        <v>43</v>
      </c>
      <c r="D71" s="9" t="s">
        <v>154</v>
      </c>
    </row>
    <row r="72" customFormat="false" ht="15" hidden="false" customHeight="false" outlineLevel="0" collapsed="false">
      <c r="A72" s="3" t="s">
        <v>155</v>
      </c>
      <c r="B72" s="8" t="n">
        <v>10</v>
      </c>
      <c r="C72" s="3" t="s">
        <v>156</v>
      </c>
      <c r="D72" s="9" t="s">
        <v>157</v>
      </c>
    </row>
  </sheetData>
  <dataValidations count="1">
    <dataValidation allowBlank="false" errorStyle="stop" operator="between" showDropDown="false" showErrorMessage="false" showInputMessage="false" sqref="B59" type="whole">
      <formula1>1</formula1>
      <formula2>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13" min="2" style="0" width="11"/>
    <col collapsed="false" customWidth="true" hidden="false" outlineLevel="0" max="14" min="14" style="0" width="14"/>
    <col collapsed="false" customWidth="true" hidden="false" outlineLevel="0" max="15" min="15" style="0" width="58"/>
  </cols>
  <sheetData>
    <row r="1" customFormat="false" ht="17.35" hidden="false" customHeight="false" outlineLevel="0" collapsed="false">
      <c r="A1" s="1" t="s">
        <v>158</v>
      </c>
    </row>
    <row r="2" customFormat="false" ht="15" hidden="false" customHeight="false" outlineLevel="0" collapsed="false">
      <c r="A2" s="2" t="s">
        <v>159</v>
      </c>
    </row>
    <row r="3" customFormat="false" ht="15" hidden="false" customHeight="false" outlineLevel="0" collapsed="false">
      <c r="A3" s="5" t="s">
        <v>31</v>
      </c>
      <c r="B3" s="5" t="s">
        <v>160</v>
      </c>
      <c r="C3" s="5" t="s">
        <v>161</v>
      </c>
      <c r="D3" s="5" t="s">
        <v>162</v>
      </c>
      <c r="E3" s="5" t="s">
        <v>163</v>
      </c>
      <c r="F3" s="5" t="s">
        <v>164</v>
      </c>
      <c r="G3" s="5" t="s">
        <v>165</v>
      </c>
      <c r="H3" s="5" t="s">
        <v>166</v>
      </c>
      <c r="I3" s="5" t="s">
        <v>167</v>
      </c>
      <c r="J3" s="5" t="s">
        <v>168</v>
      </c>
      <c r="K3" s="5" t="s">
        <v>169</v>
      </c>
      <c r="L3" s="5" t="s">
        <v>170</v>
      </c>
      <c r="M3" s="5" t="s">
        <v>171</v>
      </c>
      <c r="N3" s="5" t="s">
        <v>172</v>
      </c>
      <c r="O3" s="5" t="s">
        <v>173</v>
      </c>
    </row>
    <row r="4" customFormat="false" ht="15" hidden="false" customHeight="false" outlineLevel="0" collapsed="false">
      <c r="A4" s="6" t="s">
        <v>174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customFormat="false" ht="15" hidden="false" customHeight="false" outlineLevel="0" collapsed="false">
      <c r="A5" s="3" t="s">
        <v>175</v>
      </c>
      <c r="B5" s="16" t="n">
        <f aca="false">Допущения!$B$10</f>
        <v>12</v>
      </c>
      <c r="C5" s="16" t="n">
        <f aca="false">Допущения!$B$11</f>
        <v>12</v>
      </c>
      <c r="D5" s="16" t="n">
        <f aca="false">Допущения!$B$12</f>
        <v>26</v>
      </c>
      <c r="E5" s="16" t="n">
        <f aca="false">Допущения!$B$13</f>
        <v>30</v>
      </c>
      <c r="F5" s="16" t="n">
        <f aca="false">Допущения!$B$14</f>
        <v>20</v>
      </c>
      <c r="G5" s="16" t="n">
        <f aca="false">Допущения!$B$15</f>
        <v>17</v>
      </c>
      <c r="H5" s="16" t="n">
        <f aca="false">Допущения!$B$16</f>
        <v>16</v>
      </c>
      <c r="I5" s="16" t="n">
        <f aca="false">Допущения!$B$17</f>
        <v>17</v>
      </c>
      <c r="J5" s="16" t="n">
        <f aca="false">Допущения!$B$18</f>
        <v>20</v>
      </c>
      <c r="K5" s="16" t="n">
        <f aca="false">Допущения!$B$19</f>
        <v>27</v>
      </c>
      <c r="L5" s="16" t="n">
        <f aca="false">Допущения!$B$20</f>
        <v>24</v>
      </c>
      <c r="M5" s="16" t="n">
        <f aca="false">Допущения!$B$21</f>
        <v>19</v>
      </c>
      <c r="N5" s="11" t="n">
        <f aca="false">AVERAGE(B5:M5)</f>
        <v>20</v>
      </c>
      <c r="O5" s="12" t="s">
        <v>176</v>
      </c>
    </row>
    <row r="6" customFormat="false" ht="15" hidden="false" customHeight="false" outlineLevel="0" collapsed="false">
      <c r="A6" s="3" t="s">
        <v>177</v>
      </c>
      <c r="B6" s="17" t="n">
        <f aca="false">ROUND(B5*Допущения!$B$5*Допущения!$B$6,0)</f>
        <v>1800</v>
      </c>
      <c r="C6" s="17" t="n">
        <f aca="false">ROUND(C5*Допущения!$B$5*Допущения!$B$6,0)</f>
        <v>1800</v>
      </c>
      <c r="D6" s="17" t="n">
        <f aca="false">ROUND(D5*Допущения!$B$5*Допущения!$B$6,0)</f>
        <v>3900</v>
      </c>
      <c r="E6" s="17" t="n">
        <f aca="false">ROUND(E5*Допущения!$B$5*Допущения!$B$6,0)</f>
        <v>4500</v>
      </c>
      <c r="F6" s="17" t="n">
        <f aca="false">ROUND(F5*Допущения!$B$5*Допущения!$B$6,0)</f>
        <v>3000</v>
      </c>
      <c r="G6" s="17" t="n">
        <f aca="false">ROUND(G5*Допущения!$B$5*Допущения!$B$6,0)</f>
        <v>2550</v>
      </c>
      <c r="H6" s="17" t="n">
        <f aca="false">ROUND(H5*Допущения!$B$5*Допущения!$B$6,0)</f>
        <v>2400</v>
      </c>
      <c r="I6" s="17" t="n">
        <f aca="false">ROUND(I5*Допущения!$B$5*Допущения!$B$6,0)</f>
        <v>2550</v>
      </c>
      <c r="J6" s="17" t="n">
        <f aca="false">ROUND(J5*Допущения!$B$5*Допущения!$B$6,0)</f>
        <v>3000</v>
      </c>
      <c r="K6" s="17" t="n">
        <f aca="false">ROUND(K5*Допущения!$B$5*Допущения!$B$6,0)</f>
        <v>4050</v>
      </c>
      <c r="L6" s="17" t="n">
        <f aca="false">ROUND(L5*Допущения!$B$5*Допущения!$B$6,0)</f>
        <v>3600</v>
      </c>
      <c r="M6" s="17" t="n">
        <f aca="false">ROUND(M5*Допущения!$B$5*Допущения!$B$6,0)</f>
        <v>2850</v>
      </c>
      <c r="N6" s="14" t="n">
        <f aca="false">SUM(B6:M6)</f>
        <v>36000</v>
      </c>
      <c r="O6" s="12" t="s">
        <v>178</v>
      </c>
    </row>
    <row r="7" customFormat="false" ht="15" hidden="false" customHeight="false" outlineLevel="0" collapsed="false">
      <c r="A7" s="6" t="s">
        <v>179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customFormat="false" ht="15" hidden="false" customHeight="false" outlineLevel="0" collapsed="false">
      <c r="A8" s="10" t="s">
        <v>180</v>
      </c>
      <c r="B8" s="14" t="n">
        <f aca="false">B6*Допущения!$B$7</f>
        <v>2700000</v>
      </c>
      <c r="C8" s="14" t="n">
        <f aca="false">C6*Допущения!$B$7</f>
        <v>2700000</v>
      </c>
      <c r="D8" s="14" t="n">
        <f aca="false">D6*Допущения!$B$7</f>
        <v>5850000</v>
      </c>
      <c r="E8" s="14" t="n">
        <f aca="false">E6*Допущения!$B$7</f>
        <v>6750000</v>
      </c>
      <c r="F8" s="14" t="n">
        <f aca="false">F6*Допущения!$B$7</f>
        <v>4500000</v>
      </c>
      <c r="G8" s="14" t="n">
        <f aca="false">G6*Допущения!$B$7</f>
        <v>3825000</v>
      </c>
      <c r="H8" s="14" t="n">
        <f aca="false">H6*Допущения!$B$7</f>
        <v>3600000</v>
      </c>
      <c r="I8" s="14" t="n">
        <f aca="false">I6*Допущения!$B$7</f>
        <v>3825000</v>
      </c>
      <c r="J8" s="14" t="n">
        <f aca="false">J6*Допущения!$B$7</f>
        <v>4500000</v>
      </c>
      <c r="K8" s="14" t="n">
        <f aca="false">K6*Допущения!$B$7</f>
        <v>6075000</v>
      </c>
      <c r="L8" s="14" t="n">
        <f aca="false">L6*Допущения!$B$7</f>
        <v>5400000</v>
      </c>
      <c r="M8" s="14" t="n">
        <f aca="false">M6*Допущения!$B$7</f>
        <v>4275000</v>
      </c>
      <c r="N8" s="14" t="n">
        <f aca="false">SUM(B8:M8)</f>
        <v>54000000</v>
      </c>
      <c r="O8" s="12" t="s">
        <v>181</v>
      </c>
    </row>
    <row r="9" customFormat="false" ht="15" hidden="false" customHeight="false" outlineLevel="0" collapsed="false">
      <c r="A9" s="6" t="s">
        <v>182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customFormat="false" ht="15" hidden="false" customHeight="false" outlineLevel="0" collapsed="false">
      <c r="A10" s="3" t="s">
        <v>183</v>
      </c>
      <c r="B10" s="17" t="n">
        <f aca="false">B6*Допущения!$B$25/1000*Допущения!$B$26*(1+Допущения!$B$28)</f>
        <v>161527.68</v>
      </c>
      <c r="C10" s="17" t="n">
        <f aca="false">C6*Допущения!$B$25/1000*Допущения!$B$26*(1+Допущения!$B$28)</f>
        <v>161527.68</v>
      </c>
      <c r="D10" s="17" t="n">
        <f aca="false">D6*Допущения!$B$25/1000*Допущения!$B$26*(1+Допущения!$B$28)</f>
        <v>349976.64</v>
      </c>
      <c r="E10" s="17" t="n">
        <f aca="false">E6*Допущения!$B$25/1000*Допущения!$B$26*(1+Допущения!$B$28)</f>
        <v>403819.2</v>
      </c>
      <c r="F10" s="17" t="n">
        <f aca="false">F6*Допущения!$B$25/1000*Допущения!$B$26*(1+Допущения!$B$28)</f>
        <v>269212.8</v>
      </c>
      <c r="G10" s="17" t="n">
        <f aca="false">G6*Допущения!$B$25/1000*Допущения!$B$26*(1+Допущения!$B$28)</f>
        <v>228830.88</v>
      </c>
      <c r="H10" s="17" t="n">
        <f aca="false">H6*Допущения!$B$25/1000*Допущения!$B$26*(1+Допущения!$B$28)</f>
        <v>215370.24</v>
      </c>
      <c r="I10" s="17" t="n">
        <f aca="false">I6*Допущения!$B$25/1000*Допущения!$B$26*(1+Допущения!$B$28)</f>
        <v>228830.88</v>
      </c>
      <c r="J10" s="17" t="n">
        <f aca="false">J6*Допущения!$B$25/1000*Допущения!$B$26*(1+Допущения!$B$28)</f>
        <v>269212.8</v>
      </c>
      <c r="K10" s="17" t="n">
        <f aca="false">K6*Допущения!$B$25/1000*Допущения!$B$26*(1+Допущения!$B$28)</f>
        <v>363437.28</v>
      </c>
      <c r="L10" s="17" t="n">
        <f aca="false">L6*Допущения!$B$25/1000*Допущения!$B$26*(1+Допущения!$B$28)</f>
        <v>323055.36</v>
      </c>
      <c r="M10" s="17" t="n">
        <f aca="false">M6*Допущения!$B$25/1000*Допущения!$B$26*(1+Допущения!$B$28)</f>
        <v>255752.16</v>
      </c>
      <c r="N10" s="14" t="n">
        <f aca="false">SUM(B10:M10)</f>
        <v>3230553.6</v>
      </c>
      <c r="O10" s="12" t="s">
        <v>184</v>
      </c>
    </row>
    <row r="11" customFormat="false" ht="15" hidden="false" customHeight="false" outlineLevel="0" collapsed="false">
      <c r="A11" s="3" t="s">
        <v>185</v>
      </c>
      <c r="B11" s="17" t="n">
        <f aca="false">B6*Допущения!$B$29</f>
        <v>180000</v>
      </c>
      <c r="C11" s="17" t="n">
        <f aca="false">C6*Допущения!$B$29</f>
        <v>180000</v>
      </c>
      <c r="D11" s="17" t="n">
        <f aca="false">D6*Допущения!$B$29</f>
        <v>390000</v>
      </c>
      <c r="E11" s="17" t="n">
        <f aca="false">E6*Допущения!$B$29</f>
        <v>450000</v>
      </c>
      <c r="F11" s="17" t="n">
        <f aca="false">F6*Допущения!$B$29</f>
        <v>300000</v>
      </c>
      <c r="G11" s="17" t="n">
        <f aca="false">G6*Допущения!$B$29</f>
        <v>255000</v>
      </c>
      <c r="H11" s="17" t="n">
        <f aca="false">H6*Допущения!$B$29</f>
        <v>240000</v>
      </c>
      <c r="I11" s="17" t="n">
        <f aca="false">I6*Допущения!$B$29</f>
        <v>255000</v>
      </c>
      <c r="J11" s="17" t="n">
        <f aca="false">J6*Допущения!$B$29</f>
        <v>300000</v>
      </c>
      <c r="K11" s="17" t="n">
        <f aca="false">K6*Допущения!$B$29</f>
        <v>405000</v>
      </c>
      <c r="L11" s="17" t="n">
        <f aca="false">L6*Допущения!$B$29</f>
        <v>360000</v>
      </c>
      <c r="M11" s="17" t="n">
        <f aca="false">M6*Допущения!$B$29</f>
        <v>285000</v>
      </c>
      <c r="N11" s="14" t="n">
        <f aca="false">SUM(B11:M11)</f>
        <v>3600000</v>
      </c>
      <c r="O11" s="12" t="s">
        <v>186</v>
      </c>
    </row>
    <row r="12" customFormat="false" ht="15" hidden="false" customHeight="false" outlineLevel="0" collapsed="false">
      <c r="A12" s="3" t="s">
        <v>87</v>
      </c>
      <c r="B12" s="17" t="n">
        <f aca="false">B6*Допущения!$B$30</f>
        <v>45000</v>
      </c>
      <c r="C12" s="17" t="n">
        <f aca="false">C6*Допущения!$B$30</f>
        <v>45000</v>
      </c>
      <c r="D12" s="17" t="n">
        <f aca="false">D6*Допущения!$B$30</f>
        <v>97500</v>
      </c>
      <c r="E12" s="17" t="n">
        <f aca="false">E6*Допущения!$B$30</f>
        <v>112500</v>
      </c>
      <c r="F12" s="17" t="n">
        <f aca="false">F6*Допущения!$B$30</f>
        <v>75000</v>
      </c>
      <c r="G12" s="17" t="n">
        <f aca="false">G6*Допущения!$B$30</f>
        <v>63750</v>
      </c>
      <c r="H12" s="17" t="n">
        <f aca="false">H6*Допущения!$B$30</f>
        <v>60000</v>
      </c>
      <c r="I12" s="17" t="n">
        <f aca="false">I6*Допущения!$B$30</f>
        <v>63750</v>
      </c>
      <c r="J12" s="17" t="n">
        <f aca="false">J6*Допущения!$B$30</f>
        <v>75000</v>
      </c>
      <c r="K12" s="17" t="n">
        <f aca="false">K6*Допущения!$B$30</f>
        <v>101250</v>
      </c>
      <c r="L12" s="17" t="n">
        <f aca="false">L6*Допущения!$B$30</f>
        <v>90000</v>
      </c>
      <c r="M12" s="17" t="n">
        <f aca="false">M6*Допущения!$B$30</f>
        <v>71250</v>
      </c>
      <c r="N12" s="14" t="n">
        <f aca="false">SUM(B12:M12)</f>
        <v>900000</v>
      </c>
      <c r="O12" s="12" t="s">
        <v>187</v>
      </c>
    </row>
    <row r="13" customFormat="false" ht="15" hidden="false" customHeight="false" outlineLevel="0" collapsed="false">
      <c r="A13" s="3" t="s">
        <v>188</v>
      </c>
      <c r="B13" s="17" t="n">
        <f aca="false">B8*Допущения!$B$31</f>
        <v>27000</v>
      </c>
      <c r="C13" s="17" t="n">
        <f aca="false">C8*Допущения!$B$31</f>
        <v>27000</v>
      </c>
      <c r="D13" s="17" t="n">
        <f aca="false">D8*Допущения!$B$31</f>
        <v>58500</v>
      </c>
      <c r="E13" s="17" t="n">
        <f aca="false">E8*Допущения!$B$31</f>
        <v>67500</v>
      </c>
      <c r="F13" s="17" t="n">
        <f aca="false">F8*Допущения!$B$31</f>
        <v>45000</v>
      </c>
      <c r="G13" s="17" t="n">
        <f aca="false">G8*Допущения!$B$31</f>
        <v>38250</v>
      </c>
      <c r="H13" s="17" t="n">
        <f aca="false">H8*Допущения!$B$31</f>
        <v>36000</v>
      </c>
      <c r="I13" s="17" t="n">
        <f aca="false">I8*Допущения!$B$31</f>
        <v>38250</v>
      </c>
      <c r="J13" s="17" t="n">
        <f aca="false">J8*Допущения!$B$31</f>
        <v>45000</v>
      </c>
      <c r="K13" s="17" t="n">
        <f aca="false">K8*Допущения!$B$31</f>
        <v>60750</v>
      </c>
      <c r="L13" s="17" t="n">
        <f aca="false">L8*Допущения!$B$31</f>
        <v>54000</v>
      </c>
      <c r="M13" s="17" t="n">
        <f aca="false">M8*Допущения!$B$31</f>
        <v>42750</v>
      </c>
      <c r="N13" s="14" t="n">
        <f aca="false">SUM(B13:M13)</f>
        <v>540000</v>
      </c>
      <c r="O13" s="12" t="s">
        <v>189</v>
      </c>
    </row>
    <row r="14" customFormat="false" ht="15" hidden="false" customHeight="false" outlineLevel="0" collapsed="false">
      <c r="A14" s="10" t="s">
        <v>190</v>
      </c>
      <c r="B14" s="18" t="n">
        <f aca="false">SUM(B10:B13)</f>
        <v>413527.68</v>
      </c>
      <c r="C14" s="18" t="n">
        <f aca="false">SUM(C10:C13)</f>
        <v>413527.68</v>
      </c>
      <c r="D14" s="18" t="n">
        <f aca="false">SUM(D10:D13)</f>
        <v>895976.64</v>
      </c>
      <c r="E14" s="18" t="n">
        <f aca="false">SUM(E10:E13)</f>
        <v>1033819.2</v>
      </c>
      <c r="F14" s="18" t="n">
        <f aca="false">SUM(F10:F13)</f>
        <v>689212.8</v>
      </c>
      <c r="G14" s="18" t="n">
        <f aca="false">SUM(G10:G13)</f>
        <v>585830.88</v>
      </c>
      <c r="H14" s="18" t="n">
        <f aca="false">SUM(H10:H13)</f>
        <v>551370.24</v>
      </c>
      <c r="I14" s="18" t="n">
        <f aca="false">SUM(I10:I13)</f>
        <v>585830.88</v>
      </c>
      <c r="J14" s="18" t="n">
        <f aca="false">SUM(J10:J13)</f>
        <v>689212.8</v>
      </c>
      <c r="K14" s="18" t="n">
        <f aca="false">SUM(K10:K13)</f>
        <v>930437.28</v>
      </c>
      <c r="L14" s="18" t="n">
        <f aca="false">SUM(L10:L13)</f>
        <v>827055.36</v>
      </c>
      <c r="M14" s="18" t="n">
        <f aca="false">SUM(M10:M13)</f>
        <v>654752.16</v>
      </c>
      <c r="N14" s="14" t="n">
        <f aca="false">SUM(B14:M14)</f>
        <v>8270553.6</v>
      </c>
      <c r="O14" s="12" t="s">
        <v>191</v>
      </c>
    </row>
    <row r="15" customFormat="false" ht="15" hidden="false" customHeight="false" outlineLevel="0" collapsed="false">
      <c r="A15" s="10" t="s">
        <v>192</v>
      </c>
      <c r="B15" s="14" t="n">
        <f aca="false">B8-B14</f>
        <v>2286472.32</v>
      </c>
      <c r="C15" s="14" t="n">
        <f aca="false">C8-C14</f>
        <v>2286472.32</v>
      </c>
      <c r="D15" s="14" t="n">
        <f aca="false">D8-D14</f>
        <v>4954023.36</v>
      </c>
      <c r="E15" s="14" t="n">
        <f aca="false">E8-E14</f>
        <v>5716180.8</v>
      </c>
      <c r="F15" s="14" t="n">
        <f aca="false">F8-F14</f>
        <v>3810787.2</v>
      </c>
      <c r="G15" s="14" t="n">
        <f aca="false">G8-G14</f>
        <v>3239169.12</v>
      </c>
      <c r="H15" s="14" t="n">
        <f aca="false">H8-H14</f>
        <v>3048629.76</v>
      </c>
      <c r="I15" s="14" t="n">
        <f aca="false">I8-I14</f>
        <v>3239169.12</v>
      </c>
      <c r="J15" s="14" t="n">
        <f aca="false">J8-J14</f>
        <v>3810787.2</v>
      </c>
      <c r="K15" s="14" t="n">
        <f aca="false">K8-K14</f>
        <v>5144562.72</v>
      </c>
      <c r="L15" s="14" t="n">
        <f aca="false">L8-L14</f>
        <v>4572944.64</v>
      </c>
      <c r="M15" s="14" t="n">
        <f aca="false">M8-M14</f>
        <v>3620247.84</v>
      </c>
      <c r="N15" s="14" t="n">
        <f aca="false">SUM(B15:M15)</f>
        <v>45729446.4</v>
      </c>
      <c r="O15" s="12" t="s">
        <v>193</v>
      </c>
    </row>
    <row r="16" customFormat="false" ht="15" hidden="false" customHeight="false" outlineLevel="0" collapsed="false">
      <c r="A16" s="6" t="s">
        <v>194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customFormat="false" ht="15" hidden="false" customHeight="false" outlineLevel="0" collapsed="false">
      <c r="A17" s="3" t="s">
        <v>92</v>
      </c>
      <c r="B17" s="17" t="n">
        <f aca="false">Допущения!$B$34</f>
        <v>400000</v>
      </c>
      <c r="C17" s="17" t="n">
        <f aca="false">Допущения!$B$34</f>
        <v>400000</v>
      </c>
      <c r="D17" s="17" t="n">
        <f aca="false">Допущения!$B$34</f>
        <v>400000</v>
      </c>
      <c r="E17" s="17" t="n">
        <f aca="false">Допущения!$B$34</f>
        <v>400000</v>
      </c>
      <c r="F17" s="17" t="n">
        <f aca="false">Допущения!$B$34</f>
        <v>400000</v>
      </c>
      <c r="G17" s="17" t="n">
        <f aca="false">Допущения!$B$34</f>
        <v>400000</v>
      </c>
      <c r="H17" s="17" t="n">
        <f aca="false">Допущения!$B$34</f>
        <v>400000</v>
      </c>
      <c r="I17" s="17" t="n">
        <f aca="false">Допущения!$B$34</f>
        <v>400000</v>
      </c>
      <c r="J17" s="17" t="n">
        <f aca="false">Допущения!$B$34</f>
        <v>400000</v>
      </c>
      <c r="K17" s="17" t="n">
        <f aca="false">Допущения!$B$34</f>
        <v>400000</v>
      </c>
      <c r="L17" s="17" t="n">
        <f aca="false">Допущения!$B$34</f>
        <v>400000</v>
      </c>
      <c r="M17" s="17" t="n">
        <f aca="false">Допущения!$B$34</f>
        <v>400000</v>
      </c>
      <c r="N17" s="14" t="n">
        <f aca="false">SUM(B17:M17)</f>
        <v>4800000</v>
      </c>
      <c r="O17" s="12" t="s">
        <v>195</v>
      </c>
    </row>
    <row r="18" customFormat="false" ht="15" hidden="false" customHeight="false" outlineLevel="0" collapsed="false">
      <c r="A18" s="3" t="s">
        <v>196</v>
      </c>
      <c r="B18" s="17" t="n">
        <f aca="false">Допущения!$B$35</f>
        <v>650000</v>
      </c>
      <c r="C18" s="17" t="n">
        <f aca="false">Допущения!$B$35</f>
        <v>650000</v>
      </c>
      <c r="D18" s="17" t="n">
        <f aca="false">Допущения!$B$35</f>
        <v>650000</v>
      </c>
      <c r="E18" s="17" t="n">
        <f aca="false">Допущения!$B$35</f>
        <v>650000</v>
      </c>
      <c r="F18" s="17" t="n">
        <f aca="false">Допущения!$B$35</f>
        <v>650000</v>
      </c>
      <c r="G18" s="17" t="n">
        <f aca="false">Допущения!$B$35</f>
        <v>650000</v>
      </c>
      <c r="H18" s="17" t="n">
        <f aca="false">Допущения!$B$35</f>
        <v>650000</v>
      </c>
      <c r="I18" s="17" t="n">
        <f aca="false">Допущения!$B$35</f>
        <v>650000</v>
      </c>
      <c r="J18" s="17" t="n">
        <f aca="false">Допущения!$B$35</f>
        <v>650000</v>
      </c>
      <c r="K18" s="17" t="n">
        <f aca="false">Допущения!$B$35</f>
        <v>650000</v>
      </c>
      <c r="L18" s="17" t="n">
        <f aca="false">Допущения!$B$35</f>
        <v>650000</v>
      </c>
      <c r="M18" s="17" t="n">
        <f aca="false">Допущения!$B$35</f>
        <v>650000</v>
      </c>
      <c r="N18" s="14" t="n">
        <f aca="false">SUM(B18:M18)</f>
        <v>7800000</v>
      </c>
      <c r="O18" s="12" t="s">
        <v>195</v>
      </c>
    </row>
    <row r="19" customFormat="false" ht="15" hidden="false" customHeight="false" outlineLevel="0" collapsed="false">
      <c r="A19" s="3" t="s">
        <v>97</v>
      </c>
      <c r="B19" s="17" t="n">
        <f aca="false">Допущения!$B$36</f>
        <v>150000</v>
      </c>
      <c r="C19" s="17" t="n">
        <f aca="false">Допущения!$B$36</f>
        <v>150000</v>
      </c>
      <c r="D19" s="17" t="n">
        <f aca="false">Допущения!$B$36</f>
        <v>150000</v>
      </c>
      <c r="E19" s="17" t="n">
        <f aca="false">Допущения!$B$36</f>
        <v>150000</v>
      </c>
      <c r="F19" s="17" t="n">
        <f aca="false">Допущения!$B$36</f>
        <v>150000</v>
      </c>
      <c r="G19" s="17" t="n">
        <f aca="false">Допущения!$B$36</f>
        <v>150000</v>
      </c>
      <c r="H19" s="17" t="n">
        <f aca="false">Допущения!$B$36</f>
        <v>150000</v>
      </c>
      <c r="I19" s="17" t="n">
        <f aca="false">Допущения!$B$36</f>
        <v>150000</v>
      </c>
      <c r="J19" s="17" t="n">
        <f aca="false">Допущения!$B$36</f>
        <v>150000</v>
      </c>
      <c r="K19" s="17" t="n">
        <f aca="false">Допущения!$B$36</f>
        <v>150000</v>
      </c>
      <c r="L19" s="17" t="n">
        <f aca="false">Допущения!$B$36</f>
        <v>150000</v>
      </c>
      <c r="M19" s="17" t="n">
        <f aca="false">Допущения!$B$36</f>
        <v>150000</v>
      </c>
      <c r="N19" s="14" t="n">
        <f aca="false">SUM(B19:M19)</f>
        <v>1800000</v>
      </c>
      <c r="O19" s="12" t="s">
        <v>197</v>
      </c>
    </row>
    <row r="20" customFormat="false" ht="15" hidden="false" customHeight="false" outlineLevel="0" collapsed="false">
      <c r="A20" s="3" t="s">
        <v>198</v>
      </c>
      <c r="B20" s="17" t="n">
        <f aca="false">Допущения!$B$37</f>
        <v>80000</v>
      </c>
      <c r="C20" s="17" t="n">
        <f aca="false">Допущения!$B$37</f>
        <v>80000</v>
      </c>
      <c r="D20" s="17" t="n">
        <f aca="false">Допущения!$B$37</f>
        <v>80000</v>
      </c>
      <c r="E20" s="17" t="n">
        <f aca="false">Допущения!$B$37</f>
        <v>80000</v>
      </c>
      <c r="F20" s="17" t="n">
        <f aca="false">Допущения!$B$37</f>
        <v>80000</v>
      </c>
      <c r="G20" s="17" t="n">
        <f aca="false">Допущения!$B$37</f>
        <v>80000</v>
      </c>
      <c r="H20" s="17" t="n">
        <f aca="false">Допущения!$B$37</f>
        <v>80000</v>
      </c>
      <c r="I20" s="17" t="n">
        <f aca="false">Допущения!$B$37</f>
        <v>80000</v>
      </c>
      <c r="J20" s="17" t="n">
        <f aca="false">Допущения!$B$37</f>
        <v>80000</v>
      </c>
      <c r="K20" s="17" t="n">
        <f aca="false">Допущения!$B$37</f>
        <v>80000</v>
      </c>
      <c r="L20" s="17" t="n">
        <f aca="false">Допущения!$B$37</f>
        <v>80000</v>
      </c>
      <c r="M20" s="17" t="n">
        <f aca="false">Допущения!$B$37</f>
        <v>80000</v>
      </c>
      <c r="N20" s="14" t="n">
        <f aca="false">SUM(B20:M20)</f>
        <v>960000</v>
      </c>
      <c r="O20" s="12" t="s">
        <v>195</v>
      </c>
    </row>
    <row r="21" customFormat="false" ht="15" hidden="false" customHeight="false" outlineLevel="0" collapsed="false">
      <c r="A21" s="3" t="s">
        <v>100</v>
      </c>
      <c r="B21" s="17" t="n">
        <f aca="false">Допущения!$B$38</f>
        <v>200000</v>
      </c>
      <c r="C21" s="17" t="n">
        <f aca="false">Допущения!$B$38</f>
        <v>200000</v>
      </c>
      <c r="D21" s="17" t="n">
        <f aca="false">Допущения!$B$38</f>
        <v>200000</v>
      </c>
      <c r="E21" s="17" t="n">
        <f aca="false">Допущения!$B$38</f>
        <v>200000</v>
      </c>
      <c r="F21" s="17" t="n">
        <f aca="false">Допущения!$B$38</f>
        <v>200000</v>
      </c>
      <c r="G21" s="17" t="n">
        <f aca="false">Допущения!$B$38</f>
        <v>200000</v>
      </c>
      <c r="H21" s="17" t="n">
        <f aca="false">Допущения!$B$38</f>
        <v>200000</v>
      </c>
      <c r="I21" s="17" t="n">
        <f aca="false">Допущения!$B$38</f>
        <v>200000</v>
      </c>
      <c r="J21" s="17" t="n">
        <f aca="false">Допущения!$B$38</f>
        <v>200000</v>
      </c>
      <c r="K21" s="17" t="n">
        <f aca="false">Допущения!$B$38</f>
        <v>200000</v>
      </c>
      <c r="L21" s="17" t="n">
        <f aca="false">Допущения!$B$38</f>
        <v>200000</v>
      </c>
      <c r="M21" s="17" t="n">
        <f aca="false">Допущения!$B$38</f>
        <v>200000</v>
      </c>
      <c r="N21" s="14" t="n">
        <f aca="false">SUM(B21:M21)</f>
        <v>2400000</v>
      </c>
      <c r="O21" s="12" t="s">
        <v>195</v>
      </c>
    </row>
    <row r="22" customFormat="false" ht="15" hidden="false" customHeight="false" outlineLevel="0" collapsed="false">
      <c r="A22" s="3" t="s">
        <v>102</v>
      </c>
      <c r="B22" s="17" t="n">
        <f aca="false">Допущения!$B$39</f>
        <v>100000</v>
      </c>
      <c r="C22" s="17" t="n">
        <f aca="false">Допущения!$B$39</f>
        <v>100000</v>
      </c>
      <c r="D22" s="17" t="n">
        <f aca="false">Допущения!$B$39</f>
        <v>100000</v>
      </c>
      <c r="E22" s="17" t="n">
        <f aca="false">Допущения!$B$39</f>
        <v>100000</v>
      </c>
      <c r="F22" s="17" t="n">
        <f aca="false">Допущения!$B$39</f>
        <v>100000</v>
      </c>
      <c r="G22" s="17" t="n">
        <f aca="false">Допущения!$B$39</f>
        <v>100000</v>
      </c>
      <c r="H22" s="17" t="n">
        <f aca="false">Допущения!$B$39</f>
        <v>100000</v>
      </c>
      <c r="I22" s="17" t="n">
        <f aca="false">Допущения!$B$39</f>
        <v>100000</v>
      </c>
      <c r="J22" s="17" t="n">
        <f aca="false">Допущения!$B$39</f>
        <v>100000</v>
      </c>
      <c r="K22" s="17" t="n">
        <f aca="false">Допущения!$B$39</f>
        <v>100000</v>
      </c>
      <c r="L22" s="17" t="n">
        <f aca="false">Допущения!$B$39</f>
        <v>100000</v>
      </c>
      <c r="M22" s="17" t="n">
        <f aca="false">Допущения!$B$39</f>
        <v>100000</v>
      </c>
      <c r="N22" s="14" t="n">
        <f aca="false">SUM(B22:M22)</f>
        <v>1200000</v>
      </c>
      <c r="O22" s="12" t="s">
        <v>195</v>
      </c>
    </row>
    <row r="23" customFormat="false" ht="15" hidden="false" customHeight="false" outlineLevel="0" collapsed="false">
      <c r="A23" s="3" t="s">
        <v>199</v>
      </c>
      <c r="B23" s="17" t="n">
        <f aca="false">Допущения!$B$42</f>
        <v>900000</v>
      </c>
      <c r="C23" s="17" t="n">
        <f aca="false">Допущения!$B$43</f>
        <v>850000</v>
      </c>
      <c r="D23" s="17" t="n">
        <f aca="false">Допущения!$B$44</f>
        <v>500000</v>
      </c>
      <c r="E23" s="17" t="n">
        <f aca="false">Допущения!$B$45</f>
        <v>180000</v>
      </c>
      <c r="F23" s="17" t="n">
        <f aca="false">Допущения!$B$46</f>
        <v>0</v>
      </c>
      <c r="G23" s="17" t="n">
        <f aca="false">Допущения!$B$47</f>
        <v>0</v>
      </c>
      <c r="H23" s="17" t="n">
        <f aca="false">Допущения!$B$48</f>
        <v>0</v>
      </c>
      <c r="I23" s="17" t="n">
        <f aca="false">Допущения!$B$49</f>
        <v>0</v>
      </c>
      <c r="J23" s="17" t="n">
        <f aca="false">Допущения!$B$50</f>
        <v>0</v>
      </c>
      <c r="K23" s="17" t="n">
        <f aca="false">Допущения!$B$51</f>
        <v>300000</v>
      </c>
      <c r="L23" s="17" t="n">
        <f aca="false">Допущения!$B$52</f>
        <v>650000</v>
      </c>
      <c r="M23" s="17" t="n">
        <f aca="false">Допущения!$B$53</f>
        <v>820000</v>
      </c>
      <c r="N23" s="14" t="n">
        <f aca="false">SUM(B23:M23)</f>
        <v>4200000</v>
      </c>
      <c r="O23" s="12" t="s">
        <v>200</v>
      </c>
    </row>
    <row r="24" customFormat="false" ht="15" hidden="false" customHeight="false" outlineLevel="0" collapsed="false">
      <c r="A24" s="10" t="s">
        <v>201</v>
      </c>
      <c r="B24" s="14" t="n">
        <f aca="false">SUM(B17:B23)</f>
        <v>2480000</v>
      </c>
      <c r="C24" s="14" t="n">
        <f aca="false">SUM(C17:C23)</f>
        <v>2430000</v>
      </c>
      <c r="D24" s="14" t="n">
        <f aca="false">SUM(D17:D23)</f>
        <v>2080000</v>
      </c>
      <c r="E24" s="14" t="n">
        <f aca="false">SUM(E17:E23)</f>
        <v>1760000</v>
      </c>
      <c r="F24" s="14" t="n">
        <f aca="false">SUM(F17:F23)</f>
        <v>1580000</v>
      </c>
      <c r="G24" s="14" t="n">
        <f aca="false">SUM(G17:G23)</f>
        <v>1580000</v>
      </c>
      <c r="H24" s="14" t="n">
        <f aca="false">SUM(H17:H23)</f>
        <v>1580000</v>
      </c>
      <c r="I24" s="14" t="n">
        <f aca="false">SUM(I17:I23)</f>
        <v>1580000</v>
      </c>
      <c r="J24" s="14" t="n">
        <f aca="false">SUM(J17:J23)</f>
        <v>1580000</v>
      </c>
      <c r="K24" s="14" t="n">
        <f aca="false">SUM(K17:K23)</f>
        <v>1880000</v>
      </c>
      <c r="L24" s="14" t="n">
        <f aca="false">SUM(L17:L23)</f>
        <v>2230000</v>
      </c>
      <c r="M24" s="14" t="n">
        <f aca="false">SUM(M17:M23)</f>
        <v>2400000</v>
      </c>
      <c r="N24" s="14" t="n">
        <f aca="false">SUM(B24:M24)</f>
        <v>23160000</v>
      </c>
      <c r="O24" s="12" t="s">
        <v>202</v>
      </c>
    </row>
    <row r="25" customFormat="false" ht="15" hidden="false" customHeight="false" outlineLevel="0" collapsed="false">
      <c r="A25" s="10" t="s">
        <v>203</v>
      </c>
      <c r="B25" s="14" t="n">
        <f aca="false">B15-B24</f>
        <v>-193527.68</v>
      </c>
      <c r="C25" s="14" t="n">
        <f aca="false">C15-C24</f>
        <v>-143527.68</v>
      </c>
      <c r="D25" s="14" t="n">
        <f aca="false">D15-D24</f>
        <v>2874023.36</v>
      </c>
      <c r="E25" s="14" t="n">
        <f aca="false">E15-E24</f>
        <v>3956180.8</v>
      </c>
      <c r="F25" s="14" t="n">
        <f aca="false">F15-F24</f>
        <v>2230787.2</v>
      </c>
      <c r="G25" s="14" t="n">
        <f aca="false">G15-G24</f>
        <v>1659169.12</v>
      </c>
      <c r="H25" s="14" t="n">
        <f aca="false">H15-H24</f>
        <v>1468629.76</v>
      </c>
      <c r="I25" s="14" t="n">
        <f aca="false">I15-I24</f>
        <v>1659169.12</v>
      </c>
      <c r="J25" s="14" t="n">
        <f aca="false">J15-J24</f>
        <v>2230787.2</v>
      </c>
      <c r="K25" s="14" t="n">
        <f aca="false">K15-K24</f>
        <v>3264562.72</v>
      </c>
      <c r="L25" s="14" t="n">
        <f aca="false">L15-L24</f>
        <v>2342944.64</v>
      </c>
      <c r="M25" s="14" t="n">
        <f aca="false">M15-M24</f>
        <v>1220247.84</v>
      </c>
      <c r="N25" s="14" t="n">
        <f aca="false">SUM(B25:M25)</f>
        <v>22569446.4</v>
      </c>
      <c r="O25" s="12" t="s">
        <v>204</v>
      </c>
    </row>
    <row r="26" customFormat="false" ht="15" hidden="false" customHeight="false" outlineLevel="0" collapsed="false">
      <c r="A26" s="3" t="s">
        <v>205</v>
      </c>
      <c r="B26" s="17" t="n">
        <f aca="false">Безубыток!$B$13</f>
        <v>441666.666666667</v>
      </c>
      <c r="C26" s="17" t="n">
        <f aca="false">Безубыток!$B$13</f>
        <v>441666.666666667</v>
      </c>
      <c r="D26" s="17" t="n">
        <f aca="false">Безубыток!$B$13</f>
        <v>441666.666666667</v>
      </c>
      <c r="E26" s="17" t="n">
        <f aca="false">Безубыток!$B$13</f>
        <v>441666.666666667</v>
      </c>
      <c r="F26" s="17" t="n">
        <f aca="false">Безубыток!$B$13</f>
        <v>441666.666666667</v>
      </c>
      <c r="G26" s="17" t="n">
        <f aca="false">Безубыток!$B$13</f>
        <v>441666.666666667</v>
      </c>
      <c r="H26" s="17" t="n">
        <f aca="false">Безубыток!$B$13</f>
        <v>441666.666666667</v>
      </c>
      <c r="I26" s="17" t="n">
        <f aca="false">Безубыток!$B$13</f>
        <v>441666.666666667</v>
      </c>
      <c r="J26" s="17" t="n">
        <f aca="false">Безубыток!$B$13</f>
        <v>441666.666666667</v>
      </c>
      <c r="K26" s="17" t="n">
        <f aca="false">Безубыток!$B$13</f>
        <v>441666.666666667</v>
      </c>
      <c r="L26" s="17" t="n">
        <f aca="false">Безубыток!$B$13</f>
        <v>441666.666666667</v>
      </c>
      <c r="M26" s="17" t="n">
        <f aca="false">Безубыток!$B$13</f>
        <v>441666.666666667</v>
      </c>
      <c r="N26" s="14" t="n">
        <f aca="false">SUM(B26:M26)</f>
        <v>5300000</v>
      </c>
      <c r="O26" s="12" t="s">
        <v>206</v>
      </c>
    </row>
    <row r="27" customFormat="false" ht="15" hidden="false" customHeight="false" outlineLevel="0" collapsed="false">
      <c r="A27" s="6" t="s">
        <v>207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customFormat="false" ht="15" hidden="false" customHeight="false" outlineLevel="0" collapsed="false">
      <c r="A28" s="3" t="s">
        <v>208</v>
      </c>
      <c r="B28" s="17" t="n">
        <f aca="false">B8*Допущения!$B$60</f>
        <v>108000</v>
      </c>
      <c r="C28" s="17" t="n">
        <f aca="false">C8*Допущения!$B$60</f>
        <v>108000</v>
      </c>
      <c r="D28" s="17" t="n">
        <f aca="false">D8*Допущения!$B$60</f>
        <v>234000</v>
      </c>
      <c r="E28" s="17" t="n">
        <f aca="false">E8*Допущения!$B$60</f>
        <v>270000</v>
      </c>
      <c r="F28" s="17" t="n">
        <f aca="false">F8*Допущения!$B$60</f>
        <v>180000</v>
      </c>
      <c r="G28" s="17" t="n">
        <f aca="false">G8*Допущения!$B$60</f>
        <v>153000</v>
      </c>
      <c r="H28" s="17" t="n">
        <f aca="false">H8*Допущения!$B$60</f>
        <v>144000</v>
      </c>
      <c r="I28" s="17" t="n">
        <f aca="false">I8*Допущения!$B$60</f>
        <v>153000</v>
      </c>
      <c r="J28" s="17" t="n">
        <f aca="false">J8*Допущения!$B$60</f>
        <v>180000</v>
      </c>
      <c r="K28" s="17" t="n">
        <f aca="false">K8*Допущения!$B$60</f>
        <v>243000</v>
      </c>
      <c r="L28" s="17" t="n">
        <f aca="false">L8*Допущения!$B$60</f>
        <v>216000</v>
      </c>
      <c r="M28" s="17" t="n">
        <f aca="false">M8*Допущения!$B$60</f>
        <v>171000</v>
      </c>
      <c r="N28" s="14" t="n">
        <f aca="false">SUM(B28:M28)</f>
        <v>2160000</v>
      </c>
      <c r="O28" s="12" t="s">
        <v>209</v>
      </c>
    </row>
    <row r="29" customFormat="false" ht="15" hidden="false" customHeight="false" outlineLevel="0" collapsed="false">
      <c r="A29" s="10" t="s">
        <v>210</v>
      </c>
      <c r="B29" s="18" t="n">
        <f aca="false">B25-B28</f>
        <v>-301527.68</v>
      </c>
      <c r="C29" s="18" t="n">
        <f aca="false">C25-C28</f>
        <v>-251527.68</v>
      </c>
      <c r="D29" s="18" t="n">
        <f aca="false">D25-D28</f>
        <v>2640023.36</v>
      </c>
      <c r="E29" s="18" t="n">
        <f aca="false">E25-E28</f>
        <v>3686180.8</v>
      </c>
      <c r="F29" s="18" t="n">
        <f aca="false">F25-F28</f>
        <v>2050787.2</v>
      </c>
      <c r="G29" s="18" t="n">
        <f aca="false">G25-G28</f>
        <v>1506169.12</v>
      </c>
      <c r="H29" s="18" t="n">
        <f aca="false">H25-H28</f>
        <v>1324629.76</v>
      </c>
      <c r="I29" s="18" t="n">
        <f aca="false">I25-I28</f>
        <v>1506169.12</v>
      </c>
      <c r="J29" s="18" t="n">
        <f aca="false">J25-J28</f>
        <v>2050787.2</v>
      </c>
      <c r="K29" s="18" t="n">
        <f aca="false">K25-K28</f>
        <v>3021562.72</v>
      </c>
      <c r="L29" s="18" t="n">
        <f aca="false">L25-L28</f>
        <v>2126944.64</v>
      </c>
      <c r="M29" s="18" t="n">
        <f aca="false">M25-M28</f>
        <v>1049247.84</v>
      </c>
      <c r="N29" s="14" t="n">
        <f aca="false">SUM(B29:M29)</f>
        <v>20409446.4</v>
      </c>
      <c r="O29" s="12" t="s">
        <v>211</v>
      </c>
    </row>
    <row r="30" customFormat="false" ht="15" hidden="false" customHeight="false" outlineLevel="0" collapsed="false">
      <c r="A30" s="6" t="s">
        <v>212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customFormat="false" ht="15" hidden="false" customHeight="false" outlineLevel="0" collapsed="false">
      <c r="A31" s="3" t="s">
        <v>213</v>
      </c>
      <c r="B31" s="17" t="n">
        <f aca="false">B8*(Допущения!$B$61/(1+Допущения!$B$61))</f>
        <v>372413.793103448</v>
      </c>
      <c r="C31" s="17" t="n">
        <f aca="false">C8*(Допущения!$B$61/(1+Допущения!$B$61))</f>
        <v>372413.793103448</v>
      </c>
      <c r="D31" s="17" t="n">
        <f aca="false">D8*(Допущения!$B$61/(1+Допущения!$B$61))</f>
        <v>806896.551724138</v>
      </c>
      <c r="E31" s="17" t="n">
        <f aca="false">E8*(Допущения!$B$61/(1+Допущения!$B$61))</f>
        <v>931034.482758621</v>
      </c>
      <c r="F31" s="17" t="n">
        <f aca="false">F8*(Допущения!$B$61/(1+Допущения!$B$61))</f>
        <v>620689.655172414</v>
      </c>
      <c r="G31" s="17" t="n">
        <f aca="false">G8*(Допущения!$B$61/(1+Допущения!$B$61))</f>
        <v>527586.206896552</v>
      </c>
      <c r="H31" s="17" t="n">
        <f aca="false">H8*(Допущения!$B$61/(1+Допущения!$B$61))</f>
        <v>496551.724137931</v>
      </c>
      <c r="I31" s="17" t="n">
        <f aca="false">I8*(Допущения!$B$61/(1+Допущения!$B$61))</f>
        <v>527586.206896552</v>
      </c>
      <c r="J31" s="17" t="n">
        <f aca="false">J8*(Допущения!$B$61/(1+Допущения!$B$61))</f>
        <v>620689.655172414</v>
      </c>
      <c r="K31" s="17" t="n">
        <f aca="false">K8*(Допущения!$B$61/(1+Допущения!$B$61))</f>
        <v>837931.034482759</v>
      </c>
      <c r="L31" s="17" t="n">
        <f aca="false">L8*(Допущения!$B$61/(1+Допущения!$B$61))</f>
        <v>744827.586206897</v>
      </c>
      <c r="M31" s="17" t="n">
        <f aca="false">M8*(Допущения!$B$61/(1+Допущения!$B$61))</f>
        <v>589655.172413793</v>
      </c>
      <c r="N31" s="14" t="n">
        <f aca="false">SUM(B31:M31)</f>
        <v>7448275.86206897</v>
      </c>
      <c r="O31" s="12" t="s">
        <v>214</v>
      </c>
    </row>
    <row r="32" customFormat="false" ht="15" hidden="false" customHeight="false" outlineLevel="0" collapsed="false">
      <c r="A32" s="3" t="s">
        <v>215</v>
      </c>
      <c r="B32" s="17" t="n">
        <f aca="false">(B10+B11+B12+B17+B19+B20+B21+B22+B23)*(Допущения!$B$61/(1+Допущения!$B$61))</f>
        <v>305727.955862069</v>
      </c>
      <c r="C32" s="17" t="n">
        <f aca="false">(C10+C11+C12+C17+C19+C20+C21+C22+C23)*(Допущения!$B$61/(1+Допущения!$B$61))</f>
        <v>298831.404137931</v>
      </c>
      <c r="D32" s="17" t="n">
        <f aca="false">(D10+D11+D12+D17+D19+D20+D21+D22+D23)*(Допущения!$B$61/(1+Допущения!$B$61))</f>
        <v>312755.39862069</v>
      </c>
      <c r="E32" s="17" t="n">
        <f aca="false">(E10+E11+E12+E17+E19+E20+E21+E22+E23)*(Допущения!$B$61/(1+Допущения!$B$61))</f>
        <v>286388.855172414</v>
      </c>
      <c r="F32" s="17" t="n">
        <f aca="false">(F10+F11+F12+F17+F19+F20+F21+F22+F23)*(Допущения!$B$61/(1+Допущения!$B$61))</f>
        <v>217132.8</v>
      </c>
      <c r="G32" s="17" t="n">
        <f aca="false">(G10+G11+G12+G17+G19+G20+G21+G22+G23)*(Допущения!$B$61/(1+Допущения!$B$61))</f>
        <v>203804.259310345</v>
      </c>
      <c r="H32" s="17" t="n">
        <f aca="false">(H10+H11+H12+H17+H19+H20+H21+H22+H23)*(Допущения!$B$61/(1+Допущения!$B$61))</f>
        <v>199361.412413793</v>
      </c>
      <c r="I32" s="17" t="n">
        <f aca="false">(I10+I11+I12+I17+I19+I20+I21+I22+I23)*(Допущения!$B$61/(1+Допущения!$B$61))</f>
        <v>203804.259310345</v>
      </c>
      <c r="J32" s="17" t="n">
        <f aca="false">(J10+J11+J12+J17+J19+J20+J21+J22+J23)*(Допущения!$B$61/(1+Допущения!$B$61))</f>
        <v>217132.8</v>
      </c>
      <c r="K32" s="17" t="n">
        <f aca="false">(K10+K11+K12+K17+K19+K20+K21+K22+K23)*(Допущения!$B$61/(1+Допущения!$B$61))</f>
        <v>289612.03862069</v>
      </c>
      <c r="L32" s="17" t="n">
        <f aca="false">(L10+L11+L12+L17+L19+L20+L21+L22+L23)*(Допущения!$B$61/(1+Допущения!$B$61))</f>
        <v>324559.36</v>
      </c>
      <c r="M32" s="17" t="n">
        <f aca="false">(M10+M11+M12+M17+M19+M20+M21+M22+M23)*(Допущения!$B$61/(1+Допущения!$B$61))</f>
        <v>325793.40137931</v>
      </c>
      <c r="N32" s="14" t="n">
        <f aca="false">SUM(B32:M32)</f>
        <v>3184903.94482759</v>
      </c>
      <c r="O32" s="12" t="s">
        <v>216</v>
      </c>
    </row>
    <row r="33" customFormat="false" ht="15" hidden="false" customHeight="false" outlineLevel="0" collapsed="false">
      <c r="A33" s="3" t="s">
        <v>217</v>
      </c>
      <c r="B33" s="17" t="n">
        <f aca="false">B31-B32</f>
        <v>66685.8372413794</v>
      </c>
      <c r="C33" s="17" t="n">
        <f aca="false">C31-C32</f>
        <v>73582.3889655173</v>
      </c>
      <c r="D33" s="17" t="n">
        <f aca="false">D31-D32</f>
        <v>494141.153103448</v>
      </c>
      <c r="E33" s="17" t="n">
        <f aca="false">E31-E32</f>
        <v>644645.627586207</v>
      </c>
      <c r="F33" s="17" t="n">
        <f aca="false">F31-F32</f>
        <v>403556.855172414</v>
      </c>
      <c r="G33" s="17" t="n">
        <f aca="false">G31-G32</f>
        <v>323781.947586207</v>
      </c>
      <c r="H33" s="17" t="n">
        <f aca="false">H31-H32</f>
        <v>297190.311724138</v>
      </c>
      <c r="I33" s="17" t="n">
        <f aca="false">I31-I32</f>
        <v>323781.947586207</v>
      </c>
      <c r="J33" s="17" t="n">
        <f aca="false">J31-J32</f>
        <v>403556.855172414</v>
      </c>
      <c r="K33" s="17" t="n">
        <f aca="false">K31-K32</f>
        <v>548318.995862069</v>
      </c>
      <c r="L33" s="17" t="n">
        <f aca="false">L31-L32</f>
        <v>420268.226206897</v>
      </c>
      <c r="M33" s="17" t="n">
        <f aca="false">M31-M32</f>
        <v>263861.771034483</v>
      </c>
      <c r="N33" s="14" t="n">
        <f aca="false">SUM(B33:M33)</f>
        <v>4263371.91724138</v>
      </c>
      <c r="O33" s="12" t="s">
        <v>218</v>
      </c>
    </row>
    <row r="34" customFormat="false" ht="15" hidden="false" customHeight="false" outlineLevel="0" collapsed="false">
      <c r="A34" s="3" t="s">
        <v>219</v>
      </c>
      <c r="B34" s="17" t="n">
        <f aca="false">B25-B26-B33</f>
        <v>-701880.183908046</v>
      </c>
      <c r="C34" s="17" t="n">
        <f aca="false">C25-C26-C33</f>
        <v>-658776.735632184</v>
      </c>
      <c r="D34" s="17" t="n">
        <f aca="false">D25-D26-D33</f>
        <v>1938215.54022989</v>
      </c>
      <c r="E34" s="17" t="n">
        <f aca="false">E25-E26-E33</f>
        <v>2869868.50574713</v>
      </c>
      <c r="F34" s="17" t="n">
        <f aca="false">F25-F26-F33</f>
        <v>1385563.67816092</v>
      </c>
      <c r="G34" s="17" t="n">
        <f aca="false">G25-G26-G33</f>
        <v>893720.505747126</v>
      </c>
      <c r="H34" s="17" t="n">
        <f aca="false">H25-H26-H33</f>
        <v>729772.781609195</v>
      </c>
      <c r="I34" s="17" t="n">
        <f aca="false">I25-I26-I33</f>
        <v>893720.505747126</v>
      </c>
      <c r="J34" s="17" t="n">
        <f aca="false">J25-J26-J33</f>
        <v>1385563.67816092</v>
      </c>
      <c r="K34" s="17" t="n">
        <f aca="false">K25-K26-K33</f>
        <v>2274577.05747126</v>
      </c>
      <c r="L34" s="17" t="n">
        <f aca="false">L25-L26-L33</f>
        <v>1481009.74712644</v>
      </c>
      <c r="M34" s="17" t="n">
        <f aca="false">M25-M26-M33</f>
        <v>514719.40229885</v>
      </c>
      <c r="N34" s="14" t="n">
        <f aca="false">SUM(B34:M34)</f>
        <v>13006074.4827586</v>
      </c>
      <c r="O34" s="12" t="s">
        <v>220</v>
      </c>
    </row>
    <row r="35" customFormat="false" ht="15" hidden="false" customHeight="false" outlineLevel="0" collapsed="false">
      <c r="A35" s="3" t="s">
        <v>221</v>
      </c>
      <c r="B35" s="17" t="n">
        <f aca="false">B34*Допущения!$B$63</f>
        <v>-140376.036781609</v>
      </c>
      <c r="C35" s="17" t="n">
        <f aca="false">C34*Допущения!$B$63</f>
        <v>-131755.347126437</v>
      </c>
      <c r="D35" s="17" t="n">
        <f aca="false">D34*Допущения!$B$63</f>
        <v>387643.108045977</v>
      </c>
      <c r="E35" s="17" t="n">
        <f aca="false">E34*Допущения!$B$63</f>
        <v>573973.701149425</v>
      </c>
      <c r="F35" s="17" t="n">
        <f aca="false">F34*Допущения!$B$63</f>
        <v>277112.735632184</v>
      </c>
      <c r="G35" s="17" t="n">
        <f aca="false">G34*Допущения!$B$63</f>
        <v>178744.101149425</v>
      </c>
      <c r="H35" s="17" t="n">
        <f aca="false">H34*Допущения!$B$63</f>
        <v>145954.556321839</v>
      </c>
      <c r="I35" s="17" t="n">
        <f aca="false">I34*Допущения!$B$63</f>
        <v>178744.101149425</v>
      </c>
      <c r="J35" s="17" t="n">
        <f aca="false">J34*Допущения!$B$63</f>
        <v>277112.735632184</v>
      </c>
      <c r="K35" s="17" t="n">
        <f aca="false">K34*Допущения!$B$63</f>
        <v>454915.411494253</v>
      </c>
      <c r="L35" s="17" t="n">
        <f aca="false">L34*Допущения!$B$63</f>
        <v>296201.949425287</v>
      </c>
      <c r="M35" s="17" t="n">
        <f aca="false">M34*Допущения!$B$63</f>
        <v>102943.88045977</v>
      </c>
      <c r="N35" s="14" t="n">
        <f aca="false">MAX(0,N34*Допущения!$B$63)</f>
        <v>2601214.89655172</v>
      </c>
      <c r="O35" s="12" t="s">
        <v>222</v>
      </c>
    </row>
    <row r="36" customFormat="false" ht="15" hidden="false" customHeight="false" outlineLevel="0" collapsed="false">
      <c r="A36" s="10" t="s">
        <v>223</v>
      </c>
      <c r="B36" s="18" t="n">
        <f aca="false">B25-B33-B35</f>
        <v>-119837.48045977</v>
      </c>
      <c r="C36" s="18" t="n">
        <f aca="false">C25-C33-C35</f>
        <v>-85354.7218390806</v>
      </c>
      <c r="D36" s="18" t="n">
        <f aca="false">D25-D33-D35</f>
        <v>1992239.09885057</v>
      </c>
      <c r="E36" s="18" t="n">
        <f aca="false">E25-E33-E35</f>
        <v>2737561.47126437</v>
      </c>
      <c r="F36" s="18" t="n">
        <f aca="false">F25-F33-F35</f>
        <v>1550117.6091954</v>
      </c>
      <c r="G36" s="18" t="n">
        <f aca="false">G25-G33-G35</f>
        <v>1156643.07126437</v>
      </c>
      <c r="H36" s="18" t="n">
        <f aca="false">H25-H33-H35</f>
        <v>1025484.89195402</v>
      </c>
      <c r="I36" s="18" t="n">
        <f aca="false">I25-I33-I35</f>
        <v>1156643.07126437</v>
      </c>
      <c r="J36" s="18" t="n">
        <f aca="false">J25-J33-J35</f>
        <v>1550117.6091954</v>
      </c>
      <c r="K36" s="18" t="n">
        <f aca="false">K25-K33-K35</f>
        <v>2261328.31264368</v>
      </c>
      <c r="L36" s="18" t="n">
        <f aca="false">L25-L33-L35</f>
        <v>1626474.46436782</v>
      </c>
      <c r="M36" s="18" t="n">
        <f aca="false">M25-M33-M35</f>
        <v>853442.188505747</v>
      </c>
      <c r="N36" s="14" t="n">
        <f aca="false">N25-N33-N35</f>
        <v>15704859.5862069</v>
      </c>
      <c r="O36" s="12" t="s">
        <v>224</v>
      </c>
    </row>
    <row r="37" customFormat="false" ht="15" hidden="false" customHeight="false" outlineLevel="0" collapsed="false">
      <c r="A37" s="6" t="s">
        <v>225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customFormat="false" ht="15" hidden="false" customHeight="false" outlineLevel="0" collapsed="false">
      <c r="A38" s="3" t="s">
        <v>226</v>
      </c>
      <c r="B38" s="17" t="n">
        <f aca="false">IF((Допущения!$B$59=2),B33+B35,B28)</f>
        <v>-73690.1995402299</v>
      </c>
      <c r="C38" s="17" t="n">
        <f aca="false">IF((Допущения!$B$59=2),C33+C35,C28)</f>
        <v>-58172.9581609196</v>
      </c>
      <c r="D38" s="17" t="n">
        <f aca="false">IF((Допущения!$B$59=2),D33+D35,D28)</f>
        <v>881784.261149426</v>
      </c>
      <c r="E38" s="17" t="n">
        <f aca="false">IF((Допущения!$B$59=2),E33+E35,E28)</f>
        <v>1218619.32873563</v>
      </c>
      <c r="F38" s="17" t="n">
        <f aca="false">IF((Допущения!$B$59=2),F33+F35,F28)</f>
        <v>680669.590804598</v>
      </c>
      <c r="G38" s="17" t="n">
        <f aca="false">IF((Допущения!$B$59=2),G33+G35,G28)</f>
        <v>502526.048735632</v>
      </c>
      <c r="H38" s="17" t="n">
        <f aca="false">IF((Допущения!$B$59=2),H33+H35,H28)</f>
        <v>443144.868045977</v>
      </c>
      <c r="I38" s="17" t="n">
        <f aca="false">IF((Допущения!$B$59=2),I33+I35,I28)</f>
        <v>502526.048735632</v>
      </c>
      <c r="J38" s="17" t="n">
        <f aca="false">IF((Допущения!$B$59=2),J33+J35,J28)</f>
        <v>680669.590804598</v>
      </c>
      <c r="K38" s="17" t="n">
        <f aca="false">IF((Допущения!$B$59=2),K33+K35,K28)</f>
        <v>1003234.40735632</v>
      </c>
      <c r="L38" s="17" t="n">
        <f aca="false">IF((Допущения!$B$59=2),L33+L35,L28)</f>
        <v>716470.175632184</v>
      </c>
      <c r="M38" s="17" t="n">
        <f aca="false">IF((Допущения!$B$59=2),M33+M35,M28)</f>
        <v>366805.651494253</v>
      </c>
      <c r="N38" s="14" t="n">
        <f aca="false">IF((Допущения!$B$59=2),N33+N35,N28)</f>
        <v>6864586.8137931</v>
      </c>
      <c r="O38" s="12" t="s">
        <v>227</v>
      </c>
    </row>
    <row r="39" customFormat="false" ht="15" hidden="false" customHeight="false" outlineLevel="0" collapsed="false">
      <c r="A39" s="10" t="s">
        <v>228</v>
      </c>
      <c r="B39" s="14" t="n">
        <f aca="false">B25-B26-B38</f>
        <v>-561504.147126437</v>
      </c>
      <c r="C39" s="14" t="n">
        <f aca="false">C25-C26-C38</f>
        <v>-527021.388505747</v>
      </c>
      <c r="D39" s="14" t="n">
        <f aca="false">D25-D26-D38</f>
        <v>1550572.43218391</v>
      </c>
      <c r="E39" s="14" t="n">
        <f aca="false">E25-E26-E38</f>
        <v>2295894.8045977</v>
      </c>
      <c r="F39" s="14" t="n">
        <f aca="false">F25-F26-F38</f>
        <v>1108450.94252874</v>
      </c>
      <c r="G39" s="14" t="n">
        <f aca="false">G25-G26-G38</f>
        <v>714976.404597701</v>
      </c>
      <c r="H39" s="14" t="n">
        <f aca="false">H25-H26-H38</f>
        <v>583818.225287356</v>
      </c>
      <c r="I39" s="14" t="n">
        <f aca="false">I25-I26-I38</f>
        <v>714976.404597701</v>
      </c>
      <c r="J39" s="14" t="n">
        <f aca="false">J25-J26-J38</f>
        <v>1108450.94252874</v>
      </c>
      <c r="K39" s="14" t="n">
        <f aca="false">K25-K26-K38</f>
        <v>1819661.64597701</v>
      </c>
      <c r="L39" s="14" t="n">
        <f aca="false">L25-L26-L38</f>
        <v>1184807.79770115</v>
      </c>
      <c r="M39" s="14" t="n">
        <f aca="false">M25-M26-M38</f>
        <v>411775.52183908</v>
      </c>
      <c r="N39" s="14" t="n">
        <f aca="false">N25-N26-N38</f>
        <v>10404859.5862069</v>
      </c>
      <c r="O39" s="12" t="s">
        <v>229</v>
      </c>
    </row>
    <row r="40" customFormat="false" ht="15" hidden="false" customHeight="false" outlineLevel="0" collapsed="false">
      <c r="A40" s="3" t="s">
        <v>230</v>
      </c>
      <c r="B40" s="19" t="n">
        <f aca="false">IF(B8=0,0,B39/B8)</f>
        <v>-0.207964498935717</v>
      </c>
      <c r="C40" s="19" t="n">
        <f aca="false">IF(C8=0,0,C39/C8)</f>
        <v>-0.19519310685398</v>
      </c>
      <c r="D40" s="19" t="n">
        <f aca="false">IF(D8=0,0,D39/D8)</f>
        <v>0.265055116612634</v>
      </c>
      <c r="E40" s="19" t="n">
        <f aca="false">IF(E8=0,0,E39/E8)</f>
        <v>0.340132563644104</v>
      </c>
      <c r="F40" s="19" t="n">
        <f aca="false">IF(F8=0,0,F39/F8)</f>
        <v>0.246322431673052</v>
      </c>
      <c r="G40" s="19" t="n">
        <f aca="false">IF(G8=0,0,G39/G8)</f>
        <v>0.186921935842536</v>
      </c>
      <c r="H40" s="19" t="n">
        <f aca="false">IF(H8=0,0,H39/H8)</f>
        <v>0.162171729246488</v>
      </c>
      <c r="I40" s="19" t="n">
        <f aca="false">IF(I8=0,0,I39/I8)</f>
        <v>0.186921935842536</v>
      </c>
      <c r="J40" s="19" t="n">
        <f aca="false">IF(J8=0,0,J39/J8)</f>
        <v>0.246322431673052</v>
      </c>
      <c r="K40" s="19" t="n">
        <f aca="false">IF(K8=0,0,K39/K8)</f>
        <v>0.299532781230784</v>
      </c>
      <c r="L40" s="19" t="n">
        <f aca="false">IF(L8=0,0,L39/L8)</f>
        <v>0.219408851426139</v>
      </c>
      <c r="M40" s="19" t="n">
        <f aca="false">IF(M8=0,0,M39/M8)</f>
        <v>0.0963217594945217</v>
      </c>
      <c r="N40" s="20" t="n">
        <f aca="false">IF(N8=0,0,N39/N8)</f>
        <v>0.192682584929757</v>
      </c>
      <c r="O40" s="12" t="s">
        <v>231</v>
      </c>
    </row>
    <row r="41" customFormat="false" ht="15" hidden="false" customHeight="false" outlineLevel="0" collapsed="false">
      <c r="A41" s="10" t="s">
        <v>232</v>
      </c>
      <c r="B41" s="14" t="n">
        <f aca="false">B25-B38</f>
        <v>-119837.48045977</v>
      </c>
      <c r="C41" s="14" t="n">
        <f aca="false">C25-C38</f>
        <v>-85354.7218390806</v>
      </c>
      <c r="D41" s="14" t="n">
        <f aca="false">D25-D38</f>
        <v>1992239.09885057</v>
      </c>
      <c r="E41" s="14" t="n">
        <f aca="false">E25-E38</f>
        <v>2737561.47126437</v>
      </c>
      <c r="F41" s="14" t="n">
        <f aca="false">F25-F38</f>
        <v>1550117.6091954</v>
      </c>
      <c r="G41" s="14" t="n">
        <f aca="false">G25-G38</f>
        <v>1156643.07126437</v>
      </c>
      <c r="H41" s="14" t="n">
        <f aca="false">H25-H38</f>
        <v>1025484.89195402</v>
      </c>
      <c r="I41" s="14" t="n">
        <f aca="false">I25-I38</f>
        <v>1156643.07126437</v>
      </c>
      <c r="J41" s="14" t="n">
        <f aca="false">J25-J38</f>
        <v>1550117.6091954</v>
      </c>
      <c r="K41" s="14" t="n">
        <f aca="false">K25-K38</f>
        <v>2261328.31264368</v>
      </c>
      <c r="L41" s="14" t="n">
        <f aca="false">L25-L38</f>
        <v>1626474.46436782</v>
      </c>
      <c r="M41" s="14" t="n">
        <f aca="false">M25-M38</f>
        <v>853442.188505747</v>
      </c>
      <c r="N41" s="14" t="n">
        <f aca="false">N25-N38</f>
        <v>15704859.5862069</v>
      </c>
      <c r="O41" s="12" t="s">
        <v>233</v>
      </c>
    </row>
    <row r="42" customFormat="false" ht="15" hidden="false" customHeight="false" outlineLevel="0" collapsed="false">
      <c r="A42" s="10" t="s">
        <v>234</v>
      </c>
      <c r="B42" s="18" t="n">
        <f aca="false">-Безубыток!$B$11+B41</f>
        <v>-60119837.4804598</v>
      </c>
      <c r="C42" s="18" t="n">
        <f aca="false">B42+C41</f>
        <v>-60205192.2022989</v>
      </c>
      <c r="D42" s="18" t="n">
        <f aca="false">C42+D41</f>
        <v>-58212953.1034483</v>
      </c>
      <c r="E42" s="18" t="n">
        <f aca="false">D42+E41</f>
        <v>-55475391.6321839</v>
      </c>
      <c r="F42" s="18" t="n">
        <f aca="false">E42+F41</f>
        <v>-53925274.0229885</v>
      </c>
      <c r="G42" s="18" t="n">
        <f aca="false">F42+G41</f>
        <v>-52768630.9517241</v>
      </c>
      <c r="H42" s="18" t="n">
        <f aca="false">G42+H41</f>
        <v>-51743146.0597701</v>
      </c>
      <c r="I42" s="18" t="n">
        <f aca="false">H42+I41</f>
        <v>-50586502.9885057</v>
      </c>
      <c r="J42" s="18" t="n">
        <f aca="false">I42+J41</f>
        <v>-49036385.3793103</v>
      </c>
      <c r="K42" s="18" t="n">
        <f aca="false">J42+K41</f>
        <v>-46775057.0666667</v>
      </c>
      <c r="L42" s="18" t="n">
        <f aca="false">K42+L41</f>
        <v>-45148582.6022988</v>
      </c>
      <c r="M42" s="18" t="n">
        <f aca="false">L42+M41</f>
        <v>-44295140.4137931</v>
      </c>
      <c r="O42" s="12" t="s">
        <v>235</v>
      </c>
    </row>
    <row r="44" customFormat="false" ht="15" hidden="false" customHeight="false" outlineLevel="0" collapsed="false">
      <c r="A44" s="10" t="s">
        <v>236</v>
      </c>
      <c r="B44" s="21" t="str">
        <f aca="false">IF(N8&gt;Допущения!$B$62,IF((Допущения!$B$59=2),"Оборот выше порога 43 250 000 ₸: НДС обязателен на общем режиме","Упрощёнка: плательщики спецрежима не встают на учёт по НДС. Проверьте, что ваш ОКЭД допускает упрощёнку"),"Оборот ниже порога регистрации по НДС")</f>
        <v>Оборот выше порога 43 250 000 ₸: НДС обязателен на общем режиме</v>
      </c>
    </row>
  </sheetData>
  <conditionalFormatting sqref="B25:M25">
    <cfRule type="cellIs" priority="2" operator="lessThan" aboveAverage="0" equalAverage="0" bottom="0" percent="0" rank="0" text="" dxfId="0">
      <formula>0</formula>
    </cfRule>
  </conditionalFormatting>
  <conditionalFormatting sqref="B41:M41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7" min="2" style="0" width="16"/>
    <col collapsed="false" customWidth="true" hidden="false" outlineLevel="0" max="8" min="8" style="0" width="50"/>
  </cols>
  <sheetData>
    <row r="1" customFormat="false" ht="17.35" hidden="false" customHeight="false" outlineLevel="0" collapsed="false">
      <c r="A1" s="1" t="s">
        <v>237</v>
      </c>
    </row>
    <row r="2" customFormat="false" ht="15" hidden="false" customHeight="false" outlineLevel="0" collapsed="false">
      <c r="A2" s="2" t="s">
        <v>238</v>
      </c>
    </row>
    <row r="4" customFormat="false" ht="15" hidden="false" customHeight="false" outlineLevel="0" collapsed="false">
      <c r="A4" s="6" t="s">
        <v>239</v>
      </c>
      <c r="B4" s="7"/>
      <c r="C4" s="7"/>
      <c r="D4" s="7"/>
      <c r="E4" s="7"/>
      <c r="F4" s="7"/>
      <c r="G4" s="7"/>
      <c r="H4" s="7"/>
    </row>
    <row r="5" customFormat="false" ht="15" hidden="false" customHeight="false" outlineLevel="0" collapsed="false">
      <c r="A5" s="3" t="s">
        <v>144</v>
      </c>
      <c r="B5" s="17" t="n">
        <f aca="false">Допущения!$B$66</f>
        <v>20000000</v>
      </c>
    </row>
    <row r="6" customFormat="false" ht="15" hidden="false" customHeight="false" outlineLevel="0" collapsed="false">
      <c r="A6" s="3" t="s">
        <v>240</v>
      </c>
      <c r="B6" s="17" t="n">
        <f aca="false">Допущения!$B$67</f>
        <v>20000000</v>
      </c>
    </row>
    <row r="7" customFormat="false" ht="15" hidden="false" customHeight="false" outlineLevel="0" collapsed="false">
      <c r="A7" s="3" t="s">
        <v>241</v>
      </c>
      <c r="B7" s="17" t="n">
        <f aca="false">Допущения!$B$68</f>
        <v>7000000</v>
      </c>
    </row>
    <row r="8" customFormat="false" ht="15" hidden="false" customHeight="false" outlineLevel="0" collapsed="false">
      <c r="A8" s="3" t="s">
        <v>150</v>
      </c>
      <c r="B8" s="17" t="n">
        <f aca="false">Допущения!$B$69</f>
        <v>4000000</v>
      </c>
    </row>
    <row r="9" customFormat="false" ht="15" hidden="false" customHeight="false" outlineLevel="0" collapsed="false">
      <c r="A9" s="3" t="s">
        <v>152</v>
      </c>
      <c r="B9" s="17" t="n">
        <f aca="false">Допущения!$B$70</f>
        <v>2000000</v>
      </c>
    </row>
    <row r="10" customFormat="false" ht="15" hidden="false" customHeight="false" outlineLevel="0" collapsed="false">
      <c r="A10" s="3" t="s">
        <v>153</v>
      </c>
      <c r="B10" s="17" t="n">
        <f aca="false">Допущения!$B$71</f>
        <v>7000000</v>
      </c>
    </row>
    <row r="11" customFormat="false" ht="15" hidden="false" customHeight="false" outlineLevel="0" collapsed="false">
      <c r="A11" s="10" t="s">
        <v>242</v>
      </c>
      <c r="B11" s="14" t="n">
        <f aca="false">SUM(B5:B10)</f>
        <v>60000000</v>
      </c>
    </row>
    <row r="12" customFormat="false" ht="15" hidden="false" customHeight="false" outlineLevel="0" collapsed="false">
      <c r="A12" s="3" t="s">
        <v>243</v>
      </c>
      <c r="B12" s="19" t="n">
        <f aca="false">IF(B11=0,0,B5/B11)</f>
        <v>0.333333333333333</v>
      </c>
      <c r="C12" s="12" t="s">
        <v>244</v>
      </c>
    </row>
    <row r="13" customFormat="false" ht="15" hidden="false" customHeight="false" outlineLevel="0" collapsed="false">
      <c r="A13" s="3" t="s">
        <v>245</v>
      </c>
      <c r="B13" s="17" t="n">
        <f aca="false">(B11-B10)/Допущения!$B$72/12</f>
        <v>441666.666666667</v>
      </c>
    </row>
    <row r="15" customFormat="false" ht="15" hidden="false" customHeight="false" outlineLevel="0" collapsed="false">
      <c r="A15" s="6" t="s">
        <v>246</v>
      </c>
      <c r="B15" s="7"/>
      <c r="C15" s="7"/>
      <c r="D15" s="7"/>
      <c r="E15" s="7"/>
      <c r="F15" s="7"/>
      <c r="G15" s="7"/>
      <c r="H15" s="7"/>
    </row>
    <row r="16" customFormat="false" ht="15" hidden="false" customHeight="false" outlineLevel="0" collapsed="false">
      <c r="A16" s="3" t="s">
        <v>247</v>
      </c>
      <c r="B16" s="17" t="n">
        <f aca="false">Допущения!$B$7</f>
        <v>1500</v>
      </c>
    </row>
    <row r="17" customFormat="false" ht="15" hidden="false" customHeight="false" outlineLevel="0" collapsed="false">
      <c r="A17" s="3" t="s">
        <v>248</v>
      </c>
      <c r="B17" s="17" t="n">
        <f aca="false">Допущения!$B$25/1000*Допущения!$B$26*(1+Допущения!$B$28)</f>
        <v>89.7376</v>
      </c>
    </row>
    <row r="18" customFormat="false" ht="15" hidden="false" customHeight="false" outlineLevel="0" collapsed="false">
      <c r="A18" s="3" t="s">
        <v>185</v>
      </c>
      <c r="B18" s="17" t="n">
        <f aca="false">Допущения!$B$29</f>
        <v>100</v>
      </c>
    </row>
    <row r="19" customFormat="false" ht="15" hidden="false" customHeight="false" outlineLevel="0" collapsed="false">
      <c r="A19" s="3" t="s">
        <v>87</v>
      </c>
      <c r="B19" s="17" t="n">
        <f aca="false">Допущения!$B$30</f>
        <v>25</v>
      </c>
    </row>
    <row r="20" customFormat="false" ht="15" hidden="false" customHeight="false" outlineLevel="0" collapsed="false">
      <c r="A20" s="3" t="s">
        <v>188</v>
      </c>
      <c r="B20" s="17" t="n">
        <f aca="false">B16*Допущения!$B$31</f>
        <v>15</v>
      </c>
    </row>
    <row r="21" customFormat="false" ht="15" hidden="false" customHeight="false" outlineLevel="0" collapsed="false">
      <c r="A21" s="10" t="s">
        <v>249</v>
      </c>
      <c r="B21" s="18" t="n">
        <f aca="false">SUM(B17:B20)</f>
        <v>229.7376</v>
      </c>
    </row>
    <row r="22" customFormat="false" ht="15" hidden="false" customHeight="false" outlineLevel="0" collapsed="false">
      <c r="A22" s="10" t="s">
        <v>250</v>
      </c>
      <c r="B22" s="14" t="n">
        <f aca="false">B16-B21</f>
        <v>1270.2624</v>
      </c>
    </row>
    <row r="23" customFormat="false" ht="15" hidden="false" customHeight="false" outlineLevel="0" collapsed="false">
      <c r="A23" s="3" t="s">
        <v>251</v>
      </c>
      <c r="B23" s="17" t="n">
        <f aca="false">B22-B16*Допущения!$B$60</f>
        <v>1210.2624</v>
      </c>
    </row>
    <row r="24" customFormat="false" ht="15" hidden="false" customHeight="false" outlineLevel="0" collapsed="false">
      <c r="A24" s="3" t="s">
        <v>252</v>
      </c>
      <c r="B24" s="17" t="n">
        <f aca="false">B22-(B16-B17-B18-B19)*(Допущения!$B$61/(1+Допущения!$B$61))</f>
        <v>1092.98482758621</v>
      </c>
      <c r="C24" s="12" t="s">
        <v>253</v>
      </c>
    </row>
    <row r="26" customFormat="false" ht="15" hidden="false" customHeight="false" outlineLevel="0" collapsed="false">
      <c r="A26" s="6" t="s">
        <v>254</v>
      </c>
      <c r="B26" s="7"/>
      <c r="C26" s="7"/>
      <c r="D26" s="7"/>
      <c r="E26" s="7"/>
      <c r="F26" s="7"/>
      <c r="G26" s="7"/>
      <c r="H26" s="7"/>
    </row>
    <row r="27" customFormat="false" ht="15" hidden="false" customHeight="false" outlineLevel="0" collapsed="false">
      <c r="A27" s="10" t="s">
        <v>255</v>
      </c>
      <c r="B27" s="18" t="n">
        <f aca="false">Допущения!$B$34+Допущения!$B$35+Допущения!$B$36+Допущения!$B$37+Допущения!$B$38+Допущения!$B$39</f>
        <v>1580000</v>
      </c>
    </row>
    <row r="28" customFormat="false" ht="15" hidden="false" customHeight="false" outlineLevel="0" collapsed="false">
      <c r="A28" s="3" t="s">
        <v>256</v>
      </c>
      <c r="B28" s="17" t="n">
        <f aca="false">Допущения!$B$54/12</f>
        <v>350000</v>
      </c>
      <c r="C28" s="12" t="s">
        <v>257</v>
      </c>
    </row>
    <row r="29" customFormat="false" ht="15" hidden="false" customHeight="false" outlineLevel="0" collapsed="false">
      <c r="A29" s="10" t="s">
        <v>258</v>
      </c>
      <c r="B29" s="14" t="n">
        <f aca="false">B27+B28</f>
        <v>1930000</v>
      </c>
    </row>
    <row r="30" customFormat="false" ht="15" hidden="false" customHeight="false" outlineLevel="0" collapsed="false">
      <c r="A30" s="3" t="s">
        <v>259</v>
      </c>
      <c r="B30" s="17" t="n">
        <f aca="false">(Допущения!$B$34+Допущения!$B$36+Допущения!$B$37+Допущения!$B$38+Допущения!$B$39+B28)*(Допущения!$B$61/(1+Допущения!$B$61))</f>
        <v>176551.724137931</v>
      </c>
    </row>
    <row r="32" customFormat="false" ht="15" hidden="false" customHeight="false" outlineLevel="0" collapsed="false">
      <c r="A32" s="6" t="s">
        <v>260</v>
      </c>
      <c r="B32" s="7"/>
      <c r="C32" s="7"/>
      <c r="D32" s="7"/>
      <c r="E32" s="7"/>
      <c r="F32" s="7"/>
      <c r="G32" s="7"/>
      <c r="H32" s="7"/>
    </row>
    <row r="33" customFormat="false" ht="15" hidden="false" customHeight="false" outlineLevel="0" collapsed="false">
      <c r="A33" s="3" t="s">
        <v>261</v>
      </c>
      <c r="B33" s="17" t="n">
        <f aca="false">IF(B22&lt;=0,0,B29/B22)</f>
        <v>1519.37111576317</v>
      </c>
    </row>
    <row r="34" customFormat="false" ht="15" hidden="false" customHeight="false" outlineLevel="0" collapsed="false">
      <c r="A34" s="10" t="s">
        <v>262</v>
      </c>
      <c r="B34" s="11" t="n">
        <f aca="false">IF(B22&lt;=0,0,B33/Допущения!$B$5/Допущения!$B$6)</f>
        <v>10.1291407717545</v>
      </c>
      <c r="C34" s="12" t="s">
        <v>263</v>
      </c>
    </row>
    <row r="35" customFormat="false" ht="15" hidden="false" customHeight="false" outlineLevel="0" collapsed="false">
      <c r="A35" s="3" t="s">
        <v>264</v>
      </c>
      <c r="B35" s="16" t="n">
        <f aca="false">IF(B23&lt;=0,0,B29/B23/Допущения!$B$5/Допущения!$B$6)</f>
        <v>10.6313033162616</v>
      </c>
    </row>
    <row r="36" customFormat="false" ht="15" hidden="false" customHeight="false" outlineLevel="0" collapsed="false">
      <c r="A36" s="3" t="s">
        <v>265</v>
      </c>
      <c r="B36" s="16" t="n">
        <f aca="false">IF(B24&lt;=0,0,(B29-B30)/B24/Допущения!$B$5/Допущения!$B$6)</f>
        <v>10.695166920322</v>
      </c>
    </row>
    <row r="37" customFormat="false" ht="15" hidden="false" customHeight="false" outlineLevel="0" collapsed="false">
      <c r="A37" s="3" t="s">
        <v>266</v>
      </c>
      <c r="B37" s="16" t="n">
        <f aca="false">Допущения!$B$22</f>
        <v>20</v>
      </c>
    </row>
    <row r="38" customFormat="false" ht="15" hidden="false" customHeight="false" outlineLevel="0" collapsed="false">
      <c r="A38" s="3" t="s">
        <v>267</v>
      </c>
      <c r="B38" s="19" t="n">
        <f aca="false">IF(B37=0,0,(B37-B34)/B37)</f>
        <v>0.493542961412277</v>
      </c>
    </row>
    <row r="40" customFormat="false" ht="15" hidden="false" customHeight="false" outlineLevel="0" collapsed="false">
      <c r="A40" s="6" t="s">
        <v>268</v>
      </c>
      <c r="B40" s="7"/>
      <c r="C40" s="7"/>
      <c r="D40" s="7"/>
      <c r="E40" s="7"/>
      <c r="F40" s="7"/>
      <c r="G40" s="7"/>
      <c r="H40" s="7"/>
    </row>
    <row r="41" customFormat="false" ht="15" hidden="false" customHeight="false" outlineLevel="0" collapsed="false">
      <c r="A41" s="5" t="s">
        <v>269</v>
      </c>
      <c r="B41" s="5" t="s">
        <v>270</v>
      </c>
      <c r="C41" s="5" t="s">
        <v>271</v>
      </c>
      <c r="D41" s="5" t="s">
        <v>272</v>
      </c>
      <c r="E41" s="5" t="s">
        <v>273</v>
      </c>
      <c r="F41" s="5" t="s">
        <v>274</v>
      </c>
      <c r="G41" s="5" t="s">
        <v>275</v>
      </c>
      <c r="H41" s="5" t="s">
        <v>276</v>
      </c>
    </row>
    <row r="42" customFormat="false" ht="15" hidden="false" customHeight="false" outlineLevel="0" collapsed="false">
      <c r="A42" s="8" t="n">
        <v>8</v>
      </c>
      <c r="B42" s="17" t="n">
        <f aca="false">$A42*Допущения!$B$5*Допущения!$B$6</f>
        <v>1200</v>
      </c>
      <c r="C42" s="17" t="n">
        <f aca="false">B42*$B$16</f>
        <v>1800000</v>
      </c>
      <c r="D42" s="18" t="n">
        <f aca="false">B42*$B$22-$B$29</f>
        <v>-405685.12</v>
      </c>
      <c r="E42" s="17" t="n">
        <f aca="false">D42-C42*Допущения!$B$60</f>
        <v>-477685.12</v>
      </c>
      <c r="F42" s="17" t="n">
        <f aca="false">D42-((C42-B42*($B$17+$B$18+$B$19))*(Допущения!$B$61/(1+Допущения!$B$61))-$B$30)-MAX(0,D42-$B$13-((C42-B42*($B$17+$B$18+$B$19))*(Допущения!$B$61/(1+Допущения!$B$61))-$B$30))*Допущения!$B$63</f>
        <v>-441866.482758621</v>
      </c>
      <c r="G42" s="16" t="str">
        <f aca="false">IF(E42&lt;=0,"не окупается",$B$11/E42/12)</f>
        <v>не окупается</v>
      </c>
      <c r="H42" s="16" t="str">
        <f aca="false">IF(F42&lt;=0,"не окупается",$B$11/F42/12)</f>
        <v>не окупается</v>
      </c>
    </row>
    <row r="43" customFormat="false" ht="15" hidden="false" customHeight="false" outlineLevel="0" collapsed="false">
      <c r="A43" s="8" t="n">
        <v>10</v>
      </c>
      <c r="B43" s="17" t="n">
        <f aca="false">$A43*Допущения!$B$5*Допущения!$B$6</f>
        <v>1500</v>
      </c>
      <c r="C43" s="17" t="n">
        <f aca="false">B43*$B$16</f>
        <v>2250000</v>
      </c>
      <c r="D43" s="18" t="n">
        <f aca="false">B43*$B$22-$B$29</f>
        <v>-24606.3999999999</v>
      </c>
      <c r="E43" s="17" t="n">
        <f aca="false">D43-C43*Допущения!$B$60</f>
        <v>-114606.4</v>
      </c>
      <c r="F43" s="17" t="n">
        <f aca="false">D43-((C43-B43*($B$17+$B$18+$B$19))*(Допущения!$B$61/(1+Допущения!$B$61))-$B$30)-MAX(0,D43-$B$13-((C43-B43*($B$17+$B$18+$B$19))*(Допущения!$B$61/(1+Допущения!$B$61))-$B$30))*Допущения!$B$63</f>
        <v>-113971.034482759</v>
      </c>
      <c r="G43" s="16" t="str">
        <f aca="false">IF(E43&lt;=0,"не окупается",$B$11/E43/12)</f>
        <v>не окупается</v>
      </c>
      <c r="H43" s="16" t="str">
        <f aca="false">IF(F43&lt;=0,"не окупается",$B$11/F43/12)</f>
        <v>не окупается</v>
      </c>
    </row>
    <row r="44" customFormat="false" ht="15" hidden="false" customHeight="false" outlineLevel="0" collapsed="false">
      <c r="A44" s="8" t="n">
        <v>15</v>
      </c>
      <c r="B44" s="17" t="n">
        <f aca="false">$A44*Допущения!$B$5*Допущения!$B$6</f>
        <v>2250</v>
      </c>
      <c r="C44" s="17" t="n">
        <f aca="false">B44*$B$16</f>
        <v>3375000</v>
      </c>
      <c r="D44" s="18" t="n">
        <f aca="false">B44*$B$22-$B$29</f>
        <v>928090.4</v>
      </c>
      <c r="E44" s="17" t="n">
        <f aca="false">D44-C44*Допущения!$B$60</f>
        <v>793090.4</v>
      </c>
      <c r="F44" s="17" t="n">
        <f aca="false">D44-((C44-B44*($B$17+$B$18+$B$19))*(Допущения!$B$61/(1+Допущения!$B$61))-$B$30)-MAX(0,D44-$B$13-((C44-B44*($B$17+$B$18+$B$19))*(Допущения!$B$61/(1+Допущения!$B$61))-$B$30))*Допущения!$B$63</f>
        <v>652947.402298851</v>
      </c>
      <c r="G44" s="16" t="n">
        <f aca="false">IF(E44&lt;=0,"не окупается",$B$11/E44/12)</f>
        <v>6.30445154802025</v>
      </c>
      <c r="H44" s="16" t="n">
        <f aca="false">IF(F44&lt;=0,"не окупается",$B$11/F44/12)</f>
        <v>7.65758464218765</v>
      </c>
    </row>
    <row r="45" customFormat="false" ht="15" hidden="false" customHeight="false" outlineLevel="0" collapsed="false">
      <c r="A45" s="8" t="n">
        <v>20</v>
      </c>
      <c r="B45" s="17" t="n">
        <f aca="false">$A45*Допущения!$B$5*Допущения!$B$6</f>
        <v>3000</v>
      </c>
      <c r="C45" s="17" t="n">
        <f aca="false">B45*$B$16</f>
        <v>4500000</v>
      </c>
      <c r="D45" s="18" t="n">
        <f aca="false">B45*$B$22-$B$29</f>
        <v>1880787.2</v>
      </c>
      <c r="E45" s="17" t="n">
        <f aca="false">D45-C45*Допущения!$B$60</f>
        <v>1700787.2</v>
      </c>
      <c r="F45" s="17" t="n">
        <f aca="false">D45-((C45-B45*($B$17+$B$18+$B$19))*(Допущения!$B$61/(1+Допущения!$B$61))-$B$30)-MAX(0,D45-$B$13-((C45-B45*($B$17+$B$18+$B$19))*(Допущения!$B$61/(1+Допущения!$B$61))-$B$30))*Допущения!$B$63</f>
        <v>1308738.29885057</v>
      </c>
      <c r="G45" s="16" t="n">
        <f aca="false">IF(E45&lt;=0,"не окупается",$B$11/E45/12)</f>
        <v>2.93981516323735</v>
      </c>
      <c r="H45" s="16" t="n">
        <f aca="false">IF(F45&lt;=0,"не окупается",$B$11/F45/12)</f>
        <v>3.82047350825704</v>
      </c>
    </row>
    <row r="46" customFormat="false" ht="15" hidden="false" customHeight="false" outlineLevel="0" collapsed="false">
      <c r="A46" s="8" t="n">
        <v>25</v>
      </c>
      <c r="B46" s="17" t="n">
        <f aca="false">$A46*Допущения!$B$5*Допущения!$B$6</f>
        <v>3750</v>
      </c>
      <c r="C46" s="17" t="n">
        <f aca="false">B46*$B$16</f>
        <v>5625000</v>
      </c>
      <c r="D46" s="18" t="n">
        <f aca="false">B46*$B$22-$B$29</f>
        <v>2833484</v>
      </c>
      <c r="E46" s="17" t="n">
        <f aca="false">D46-C46*Допущения!$B$60</f>
        <v>2608484</v>
      </c>
      <c r="F46" s="17" t="n">
        <f aca="false">D46-((C46-B46*($B$17+$B$18+$B$19))*(Допущения!$B$61/(1+Допущения!$B$61))-$B$30)-MAX(0,D46-$B$13-((C46-B46*($B$17+$B$18+$B$19))*(Допущения!$B$61/(1+Допущения!$B$61))-$B$30))*Допущения!$B$63</f>
        <v>1964529.1954023</v>
      </c>
      <c r="G46" s="16" t="n">
        <f aca="false">IF(E46&lt;=0,"не окупается",$B$11/E46/12)</f>
        <v>1.91682218483993</v>
      </c>
      <c r="H46" s="16" t="n">
        <f aca="false">IF(F46&lt;=0,"не окупается",$B$11/F46/12)</f>
        <v>2.54513906522835</v>
      </c>
    </row>
    <row r="47" customFormat="false" ht="15" hidden="false" customHeight="false" outlineLevel="0" collapsed="false">
      <c r="A47" s="8" t="n">
        <v>28</v>
      </c>
      <c r="B47" s="17" t="n">
        <f aca="false">$A47*Допущения!$B$5*Допущения!$B$6</f>
        <v>4200</v>
      </c>
      <c r="C47" s="17" t="n">
        <f aca="false">B47*$B$16</f>
        <v>6300000</v>
      </c>
      <c r="D47" s="18" t="n">
        <f aca="false">B47*$B$22-$B$29</f>
        <v>3405102.08</v>
      </c>
      <c r="E47" s="17" t="n">
        <f aca="false">D47-C47*Допущения!$B$60</f>
        <v>3153102.08</v>
      </c>
      <c r="F47" s="17" t="n">
        <f aca="false">D47-((C47-B47*($B$17+$B$18+$B$19))*(Допущения!$B$61/(1+Допущения!$B$61))-$B$30)-MAX(0,D47-$B$13-((C47-B47*($B$17+$B$18+$B$19))*(Допущения!$B$61/(1+Допущения!$B$61))-$B$30))*Допущения!$B$63</f>
        <v>2358003.73333333</v>
      </c>
      <c r="G47" s="16" t="n">
        <f aca="false">IF(E47&lt;=0,"не окупается",$B$11/E47/12)</f>
        <v>1.58573997071481</v>
      </c>
      <c r="H47" s="16" t="n">
        <f aca="false">IF(F47&lt;=0,"не окупается",$B$11/F47/12)</f>
        <v>2.12043769452895</v>
      </c>
    </row>
    <row r="48" customFormat="false" ht="15" hidden="false" customHeight="false" outlineLevel="0" collapsed="false">
      <c r="A48" s="12" t="s">
        <v>277</v>
      </c>
    </row>
    <row r="50" customFormat="false" ht="15" hidden="false" customHeight="false" outlineLevel="0" collapsed="false">
      <c r="A50" s="6" t="s">
        <v>278</v>
      </c>
      <c r="B50" s="7"/>
      <c r="C50" s="7"/>
      <c r="D50" s="7"/>
      <c r="E50" s="7"/>
      <c r="F50" s="7"/>
      <c r="G50" s="7"/>
      <c r="H50" s="7"/>
    </row>
    <row r="51" customFormat="false" ht="15" hidden="false" customHeight="false" outlineLevel="0" collapsed="false">
      <c r="A51" s="5" t="s">
        <v>279</v>
      </c>
      <c r="B51" s="22" t="n">
        <v>10</v>
      </c>
      <c r="C51" s="22" t="n">
        <v>15</v>
      </c>
      <c r="D51" s="22" t="n">
        <v>20</v>
      </c>
      <c r="E51" s="22" t="n">
        <v>25</v>
      </c>
      <c r="F51" s="22" t="n">
        <v>28</v>
      </c>
    </row>
    <row r="52" customFormat="false" ht="15" hidden="false" customHeight="false" outlineLevel="0" collapsed="false">
      <c r="A52" s="23" t="n">
        <v>1200</v>
      </c>
      <c r="B52" s="17" t="n">
        <f aca="false">B$51*Допущения!$B$5*Допущения!$B$6*($A52*(1-Допущения!$B$31)-$B$17-$B$18-$B$19)-$B$29</f>
        <v>-470106.4</v>
      </c>
      <c r="C52" s="17" t="n">
        <f aca="false">C$51*Допущения!$B$5*Допущения!$B$6*($A52*(1-Допущения!$B$31)-$B$17-$B$18-$B$19)-$B$29</f>
        <v>259840.4</v>
      </c>
      <c r="D52" s="17" t="n">
        <f aca="false">D$51*Допущения!$B$5*Допущения!$B$6*($A52*(1-Допущения!$B$31)-$B$17-$B$18-$B$19)-$B$29</f>
        <v>989787.2</v>
      </c>
      <c r="E52" s="17" t="n">
        <f aca="false">E$51*Допущения!$B$5*Допущения!$B$6*($A52*(1-Допущения!$B$31)-$B$17-$B$18-$B$19)-$B$29</f>
        <v>1719734</v>
      </c>
      <c r="F52" s="17" t="n">
        <f aca="false">F$51*Допущения!$B$5*Допущения!$B$6*($A52*(1-Допущения!$B$31)-$B$17-$B$18-$B$19)-$B$29</f>
        <v>2157702.08</v>
      </c>
    </row>
    <row r="53" customFormat="false" ht="15" hidden="false" customHeight="false" outlineLevel="0" collapsed="false">
      <c r="A53" s="23" t="n">
        <v>1350</v>
      </c>
      <c r="B53" s="17" t="n">
        <f aca="false">B$51*Допущения!$B$5*Допущения!$B$6*($A53*(1-Допущения!$B$31)-$B$17-$B$18-$B$19)-$B$29</f>
        <v>-247356.4</v>
      </c>
      <c r="C53" s="17" t="n">
        <f aca="false">C$51*Допущения!$B$5*Допущения!$B$6*($A53*(1-Допущения!$B$31)-$B$17-$B$18-$B$19)-$B$29</f>
        <v>593965.4</v>
      </c>
      <c r="D53" s="17" t="n">
        <f aca="false">D$51*Допущения!$B$5*Допущения!$B$6*($A53*(1-Допущения!$B$31)-$B$17-$B$18-$B$19)-$B$29</f>
        <v>1435287.2</v>
      </c>
      <c r="E53" s="17" t="n">
        <f aca="false">E$51*Допущения!$B$5*Допущения!$B$6*($A53*(1-Допущения!$B$31)-$B$17-$B$18-$B$19)-$B$29</f>
        <v>2276609</v>
      </c>
      <c r="F53" s="17" t="n">
        <f aca="false">F$51*Допущения!$B$5*Допущения!$B$6*($A53*(1-Допущения!$B$31)-$B$17-$B$18-$B$19)-$B$29</f>
        <v>2781402.08</v>
      </c>
    </row>
    <row r="54" customFormat="false" ht="15" hidden="false" customHeight="false" outlineLevel="0" collapsed="false">
      <c r="A54" s="23" t="n">
        <v>1500</v>
      </c>
      <c r="B54" s="17" t="n">
        <f aca="false">B$51*Допущения!$B$5*Допущения!$B$6*($A54*(1-Допущения!$B$31)-$B$17-$B$18-$B$19)-$B$29</f>
        <v>-24606.3999999999</v>
      </c>
      <c r="C54" s="17" t="n">
        <f aca="false">C$51*Допущения!$B$5*Допущения!$B$6*($A54*(1-Допущения!$B$31)-$B$17-$B$18-$B$19)-$B$29</f>
        <v>928090.4</v>
      </c>
      <c r="D54" s="17" t="n">
        <f aca="false">D$51*Допущения!$B$5*Допущения!$B$6*($A54*(1-Допущения!$B$31)-$B$17-$B$18-$B$19)-$B$29</f>
        <v>1880787.2</v>
      </c>
      <c r="E54" s="17" t="n">
        <f aca="false">E$51*Допущения!$B$5*Допущения!$B$6*($A54*(1-Допущения!$B$31)-$B$17-$B$18-$B$19)-$B$29</f>
        <v>2833484</v>
      </c>
      <c r="F54" s="17" t="n">
        <f aca="false">F$51*Допущения!$B$5*Допущения!$B$6*($A54*(1-Допущения!$B$31)-$B$17-$B$18-$B$19)-$B$29</f>
        <v>3405102.08</v>
      </c>
    </row>
    <row r="55" customFormat="false" ht="15" hidden="false" customHeight="false" outlineLevel="0" collapsed="false">
      <c r="A55" s="23" t="n">
        <v>1700</v>
      </c>
      <c r="B55" s="17" t="n">
        <f aca="false">B$51*Допущения!$B$5*Допущения!$B$6*($A55*(1-Допущения!$B$31)-$B$17-$B$18-$B$19)-$B$29</f>
        <v>272393.6</v>
      </c>
      <c r="C55" s="17" t="n">
        <f aca="false">C$51*Допущения!$B$5*Допущения!$B$6*($A55*(1-Допущения!$B$31)-$B$17-$B$18-$B$19)-$B$29</f>
        <v>1373590.4</v>
      </c>
      <c r="D55" s="17" t="n">
        <f aca="false">D$51*Допущения!$B$5*Допущения!$B$6*($A55*(1-Допущения!$B$31)-$B$17-$B$18-$B$19)-$B$29</f>
        <v>2474787.2</v>
      </c>
      <c r="E55" s="17" t="n">
        <f aca="false">E$51*Допущения!$B$5*Допущения!$B$6*($A55*(1-Допущения!$B$31)-$B$17-$B$18-$B$19)-$B$29</f>
        <v>3575984</v>
      </c>
      <c r="F55" s="17" t="n">
        <f aca="false">F$51*Допущения!$B$5*Допущения!$B$6*($A55*(1-Допущения!$B$31)-$B$17-$B$18-$B$19)-$B$29</f>
        <v>4236702.08</v>
      </c>
    </row>
    <row r="56" customFormat="false" ht="15" hidden="false" customHeight="false" outlineLevel="0" collapsed="false">
      <c r="A56" s="23" t="n">
        <v>2000</v>
      </c>
      <c r="B56" s="17" t="n">
        <f aca="false">B$51*Допущения!$B$5*Допущения!$B$6*($A56*(1-Допущения!$B$31)-$B$17-$B$18-$B$19)-$B$29</f>
        <v>717893.6</v>
      </c>
      <c r="C56" s="17" t="n">
        <f aca="false">C$51*Допущения!$B$5*Допущения!$B$6*($A56*(1-Допущения!$B$31)-$B$17-$B$18-$B$19)-$B$29</f>
        <v>2041840.4</v>
      </c>
      <c r="D56" s="17" t="n">
        <f aca="false">D$51*Допущения!$B$5*Допущения!$B$6*($A56*(1-Допущения!$B$31)-$B$17-$B$18-$B$19)-$B$29</f>
        <v>3365787.2</v>
      </c>
      <c r="E56" s="17" t="n">
        <f aca="false">E$51*Допущения!$B$5*Допущения!$B$6*($A56*(1-Допущения!$B$31)-$B$17-$B$18-$B$19)-$B$29</f>
        <v>4689734</v>
      </c>
      <c r="F56" s="17" t="n">
        <f aca="false">F$51*Допущения!$B$5*Допущения!$B$6*($A56*(1-Допущения!$B$31)-$B$17-$B$18-$B$19)-$B$29</f>
        <v>5484102.08</v>
      </c>
    </row>
    <row r="57" customFormat="false" ht="15" hidden="false" customHeight="false" outlineLevel="0" collapsed="false">
      <c r="A57" s="12" t="s">
        <v>280</v>
      </c>
    </row>
    <row r="59" customFormat="false" ht="15" hidden="false" customHeight="false" outlineLevel="0" collapsed="false">
      <c r="A59" s="6" t="s">
        <v>281</v>
      </c>
      <c r="B59" s="7"/>
      <c r="C59" s="7"/>
      <c r="D59" s="7"/>
      <c r="E59" s="7"/>
      <c r="F59" s="7"/>
      <c r="G59" s="7"/>
      <c r="H59" s="7"/>
    </row>
    <row r="60" customFormat="false" ht="15" hidden="false" customHeight="false" outlineLevel="0" collapsed="false">
      <c r="A60" s="3" t="s">
        <v>282</v>
      </c>
      <c r="B60" s="17" t="n">
        <f aca="false">Допущения!$B$55*Допущения!$B$56*Допущения!$B$6</f>
        <v>1035000</v>
      </c>
      <c r="C60" s="12" t="s">
        <v>283</v>
      </c>
    </row>
    <row r="61" customFormat="false" ht="15" hidden="false" customHeight="false" outlineLevel="0" collapsed="false">
      <c r="A61" s="3" t="s">
        <v>284</v>
      </c>
      <c r="B61" s="16" t="n">
        <f aca="false">Допущения!$B$25/1000*Допущения!$B$27</f>
        <v>52.64</v>
      </c>
    </row>
    <row r="62" customFormat="false" ht="15" hidden="false" customHeight="false" outlineLevel="0" collapsed="false">
      <c r="A62" s="3" t="s">
        <v>285</v>
      </c>
      <c r="B62" s="16" t="n">
        <f aca="false">Допущения!$B$25/1000*Допущения!$B$26</f>
        <v>77.36</v>
      </c>
    </row>
    <row r="63" customFormat="false" ht="15" hidden="false" customHeight="false" outlineLevel="0" collapsed="false">
      <c r="A63" s="3" t="s">
        <v>286</v>
      </c>
      <c r="B63" s="16" t="n">
        <f aca="false">B62*(1+Допущения!$B$28)</f>
        <v>89.7376</v>
      </c>
    </row>
    <row r="64" customFormat="false" ht="15" hidden="false" customHeight="false" outlineLevel="0" collapsed="false">
      <c r="A64" s="3" t="s">
        <v>287</v>
      </c>
      <c r="B64" s="19" t="n">
        <f aca="false">IF(Допущения!$B$27=0,0,Допущения!$B$26/Допущения!$B$27-1)</f>
        <v>0.469604863221885</v>
      </c>
    </row>
    <row r="65" customFormat="false" ht="15" hidden="false" customHeight="false" outlineLevel="0" collapsed="false">
      <c r="A65" s="3" t="s">
        <v>288</v>
      </c>
      <c r="B65" s="17" t="n">
        <f aca="false">Модель!N6</f>
        <v>36000</v>
      </c>
    </row>
    <row r="66" customFormat="false" ht="15" hidden="false" customHeight="false" outlineLevel="0" collapsed="false">
      <c r="A66" s="10" t="s">
        <v>289</v>
      </c>
      <c r="B66" s="18" t="n">
        <f aca="false">(B62-B61)*B65*(1+Допущения!$B$28)</f>
        <v>1032307.2</v>
      </c>
      <c r="C66" s="12" t="s">
        <v>290</v>
      </c>
    </row>
  </sheetData>
  <conditionalFormatting sqref="D42:F47">
    <cfRule type="cellIs" priority="2" operator="lessThan" aboveAverage="0" equalAverage="0" bottom="0" percent="0" rank="0" text="" dxfId="0">
      <formula>0</formula>
    </cfRule>
  </conditionalFormatting>
  <conditionalFormatting sqref="B52:F56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291</v>
      </c>
    </row>
    <row r="2" customFormat="false" ht="15" hidden="false" customHeight="false" outlineLevel="0" collapsed="false">
      <c r="A2" s="2" t="s">
        <v>292</v>
      </c>
    </row>
    <row r="3" customFormat="false" ht="15" hidden="false" customHeight="false" outlineLevel="0" collapsed="false">
      <c r="A3" s="5" t="s">
        <v>31</v>
      </c>
      <c r="B3" s="5" t="s">
        <v>293</v>
      </c>
      <c r="C3" s="5" t="s">
        <v>294</v>
      </c>
      <c r="D3" s="5" t="s">
        <v>295</v>
      </c>
    </row>
    <row r="4" customFormat="false" ht="15" hidden="false" customHeight="false" outlineLevel="0" collapsed="false">
      <c r="A4" s="6" t="s">
        <v>296</v>
      </c>
      <c r="B4" s="7"/>
      <c r="C4" s="7"/>
      <c r="D4" s="7"/>
    </row>
    <row r="5" customFormat="false" ht="15" hidden="false" customHeight="false" outlineLevel="0" collapsed="false">
      <c r="A5" s="3" t="s">
        <v>297</v>
      </c>
      <c r="B5" s="17" t="n">
        <f aca="false">Модель!N6</f>
        <v>36000</v>
      </c>
      <c r="C5" s="17" t="n">
        <f aca="false">B5/12</f>
        <v>3000</v>
      </c>
      <c r="D5" s="12"/>
    </row>
    <row r="6" customFormat="false" ht="15" hidden="false" customHeight="false" outlineLevel="0" collapsed="false">
      <c r="A6" s="3" t="s">
        <v>298</v>
      </c>
      <c r="B6" s="16" t="n">
        <f aca="false">Модель!N5</f>
        <v>20</v>
      </c>
      <c r="C6" s="16" t="n">
        <f aca="false">B6</f>
        <v>20</v>
      </c>
      <c r="D6" s="12"/>
    </row>
    <row r="7" customFormat="false" ht="15" hidden="false" customHeight="false" outlineLevel="0" collapsed="false">
      <c r="A7" s="10" t="s">
        <v>299</v>
      </c>
      <c r="B7" s="14" t="n">
        <f aca="false">Модель!N8</f>
        <v>54000000</v>
      </c>
      <c r="C7" s="17" t="n">
        <f aca="false">B7/12</f>
        <v>4500000</v>
      </c>
      <c r="D7" s="12" t="s">
        <v>300</v>
      </c>
    </row>
    <row r="8" customFormat="false" ht="15" hidden="false" customHeight="false" outlineLevel="0" collapsed="false">
      <c r="A8" s="6" t="s">
        <v>301</v>
      </c>
      <c r="B8" s="7"/>
      <c r="C8" s="7"/>
      <c r="D8" s="7"/>
    </row>
    <row r="9" customFormat="false" ht="15" hidden="false" customHeight="false" outlineLevel="0" collapsed="false">
      <c r="A9" s="3" t="s">
        <v>302</v>
      </c>
      <c r="B9" s="17" t="n">
        <f aca="false">Модель!N14</f>
        <v>8270553.6</v>
      </c>
      <c r="C9" s="17" t="n">
        <f aca="false">B9/12</f>
        <v>689212.8</v>
      </c>
      <c r="D9" s="12"/>
    </row>
    <row r="10" customFormat="false" ht="15" hidden="false" customHeight="false" outlineLevel="0" collapsed="false">
      <c r="A10" s="3" t="s">
        <v>255</v>
      </c>
      <c r="B10" s="17" t="n">
        <f aca="false">Модель!N24-Модель!N23</f>
        <v>18960000</v>
      </c>
      <c r="C10" s="17" t="n">
        <f aca="false">B10/12</f>
        <v>1580000</v>
      </c>
      <c r="D10" s="12"/>
    </row>
    <row r="11" customFormat="false" ht="15" hidden="false" customHeight="false" outlineLevel="0" collapsed="false">
      <c r="A11" s="3" t="s">
        <v>199</v>
      </c>
      <c r="B11" s="17" t="n">
        <f aca="false">Модель!N23</f>
        <v>4200000</v>
      </c>
      <c r="C11" s="17" t="n">
        <f aca="false">B11/12</f>
        <v>350000</v>
      </c>
      <c r="D11" s="12" t="s">
        <v>303</v>
      </c>
    </row>
    <row r="12" customFormat="false" ht="15" hidden="false" customHeight="false" outlineLevel="0" collapsed="false">
      <c r="A12" s="6" t="s">
        <v>304</v>
      </c>
      <c r="B12" s="7"/>
      <c r="C12" s="7"/>
      <c r="D12" s="7"/>
    </row>
    <row r="13" customFormat="false" ht="15" hidden="false" customHeight="false" outlineLevel="0" collapsed="false">
      <c r="A13" s="10" t="s">
        <v>305</v>
      </c>
      <c r="B13" s="14" t="n">
        <f aca="false">Модель!N25</f>
        <v>22569446.4</v>
      </c>
      <c r="C13" s="17" t="n">
        <f aca="false">B13/12</f>
        <v>1880787.2</v>
      </c>
      <c r="D13" s="12"/>
    </row>
    <row r="14" customFormat="false" ht="15" hidden="false" customHeight="false" outlineLevel="0" collapsed="false">
      <c r="A14" s="3" t="s">
        <v>306</v>
      </c>
      <c r="B14" s="17" t="n">
        <f aca="false">Модель!D25+Модель!E25+Модель!K25+Модель!L25</f>
        <v>12437711.52</v>
      </c>
      <c r="D14" s="12"/>
    </row>
    <row r="15" customFormat="false" ht="15" hidden="false" customHeight="false" outlineLevel="0" collapsed="false">
      <c r="A15" s="10" t="s">
        <v>307</v>
      </c>
      <c r="B15" s="20" t="n">
        <f aca="false">IF(B13=0,0,B14/B13)</f>
        <v>0.551086247290496</v>
      </c>
      <c r="D15" s="12" t="s">
        <v>308</v>
      </c>
    </row>
    <row r="16" customFormat="false" ht="15" hidden="false" customHeight="false" outlineLevel="0" collapsed="false">
      <c r="A16" s="3" t="s">
        <v>309</v>
      </c>
      <c r="B16" s="17" t="n">
        <f aca="false">Модель!B25+Модель!C25</f>
        <v>-337055.36</v>
      </c>
      <c r="D16" s="12" t="s">
        <v>310</v>
      </c>
    </row>
    <row r="17" customFormat="false" ht="15" hidden="false" customHeight="false" outlineLevel="0" collapsed="false">
      <c r="A17" s="3" t="s">
        <v>311</v>
      </c>
      <c r="B17" s="17" t="n">
        <f aca="false">COUNTIF(Модель!B25:M25,"&lt;0")</f>
        <v>2</v>
      </c>
      <c r="D17" s="12"/>
    </row>
    <row r="18" customFormat="false" ht="15" hidden="false" customHeight="false" outlineLevel="0" collapsed="false">
      <c r="A18" s="6" t="s">
        <v>312</v>
      </c>
      <c r="B18" s="7"/>
      <c r="C18" s="7"/>
      <c r="D18" s="7"/>
    </row>
    <row r="19" customFormat="false" ht="15" hidden="false" customHeight="false" outlineLevel="0" collapsed="false">
      <c r="A19" s="3" t="s">
        <v>313</v>
      </c>
      <c r="B19" s="17" t="n">
        <f aca="false">Модель!N28</f>
        <v>2160000</v>
      </c>
      <c r="C19" s="17" t="n">
        <f aca="false">B19/12</f>
        <v>180000</v>
      </c>
      <c r="D19" s="12"/>
    </row>
    <row r="20" customFormat="false" ht="15" hidden="false" customHeight="false" outlineLevel="0" collapsed="false">
      <c r="A20" s="10" t="s">
        <v>314</v>
      </c>
      <c r="B20" s="14" t="n">
        <f aca="false">Модель!N29</f>
        <v>20409446.4</v>
      </c>
      <c r="C20" s="17" t="n">
        <f aca="false">B20/12</f>
        <v>1700787.2</v>
      </c>
      <c r="D20" s="12"/>
    </row>
    <row r="21" customFormat="false" ht="15" hidden="false" customHeight="false" outlineLevel="0" collapsed="false">
      <c r="A21" s="10" t="s">
        <v>315</v>
      </c>
      <c r="B21" s="11" t="n">
        <f aca="false">IF(B20&lt;=0,"не окупается",Безубыток!$B$11/B20)</f>
        <v>2.93981516323735</v>
      </c>
      <c r="D21" s="12"/>
    </row>
    <row r="22" customFormat="false" ht="15" hidden="false" customHeight="false" outlineLevel="0" collapsed="false">
      <c r="A22" s="6" t="s">
        <v>316</v>
      </c>
      <c r="B22" s="7"/>
      <c r="C22" s="7"/>
      <c r="D22" s="7"/>
    </row>
    <row r="23" customFormat="false" ht="15" hidden="false" customHeight="false" outlineLevel="0" collapsed="false">
      <c r="A23" s="3" t="s">
        <v>217</v>
      </c>
      <c r="B23" s="17" t="n">
        <f aca="false">Модель!N33</f>
        <v>4263371.91724138</v>
      </c>
      <c r="C23" s="17" t="n">
        <f aca="false">B23/12</f>
        <v>355280.993103448</v>
      </c>
      <c r="D23" s="12"/>
    </row>
    <row r="24" customFormat="false" ht="15" hidden="false" customHeight="false" outlineLevel="0" collapsed="false">
      <c r="A24" s="3" t="s">
        <v>221</v>
      </c>
      <c r="B24" s="17" t="n">
        <f aca="false">Модель!N35</f>
        <v>2601214.89655172</v>
      </c>
      <c r="C24" s="17" t="n">
        <f aca="false">B24/12</f>
        <v>216767.908045977</v>
      </c>
      <c r="D24" s="12"/>
    </row>
    <row r="25" customFormat="false" ht="15" hidden="false" customHeight="false" outlineLevel="0" collapsed="false">
      <c r="A25" s="10" t="s">
        <v>314</v>
      </c>
      <c r="B25" s="14" t="n">
        <f aca="false">Модель!N36</f>
        <v>15704859.5862069</v>
      </c>
      <c r="C25" s="17" t="n">
        <f aca="false">B25/12</f>
        <v>1308738.29885057</v>
      </c>
      <c r="D25" s="12"/>
    </row>
    <row r="26" customFormat="false" ht="15" hidden="false" customHeight="false" outlineLevel="0" collapsed="false">
      <c r="A26" s="10" t="s">
        <v>315</v>
      </c>
      <c r="B26" s="11" t="n">
        <f aca="false">IF(B25&lt;=0,"не окупается",Безубыток!$B$11/B25)</f>
        <v>3.82047350825704</v>
      </c>
      <c r="D26" s="12"/>
    </row>
    <row r="27" customFormat="false" ht="15" hidden="false" customHeight="false" outlineLevel="0" collapsed="false">
      <c r="A27" s="6" t="s">
        <v>317</v>
      </c>
      <c r="B27" s="7"/>
      <c r="C27" s="7"/>
      <c r="D27" s="7"/>
    </row>
    <row r="28" customFormat="false" ht="15" hidden="false" customHeight="false" outlineLevel="0" collapsed="false">
      <c r="A28" s="3" t="s">
        <v>318</v>
      </c>
      <c r="B28" s="17" t="n">
        <f aca="false">Модель!N39</f>
        <v>10404859.5862069</v>
      </c>
      <c r="C28" s="17" t="n">
        <f aca="false">B28/12</f>
        <v>867071.632183908</v>
      </c>
      <c r="D28" s="12"/>
    </row>
    <row r="29" customFormat="false" ht="15" hidden="false" customHeight="false" outlineLevel="0" collapsed="false">
      <c r="A29" s="10" t="s">
        <v>314</v>
      </c>
      <c r="B29" s="14" t="n">
        <f aca="false">Модель!N41</f>
        <v>15704859.5862069</v>
      </c>
      <c r="C29" s="17" t="n">
        <f aca="false">B29/12</f>
        <v>1308738.29885057</v>
      </c>
      <c r="D29" s="12"/>
    </row>
    <row r="30" customFormat="false" ht="15" hidden="false" customHeight="false" outlineLevel="0" collapsed="false">
      <c r="A30" s="3" t="s">
        <v>319</v>
      </c>
      <c r="B30" s="17" t="n">
        <f aca="false">Модель!M42</f>
        <v>-44295140.4137931</v>
      </c>
      <c r="D30" s="12" t="s">
        <v>320</v>
      </c>
    </row>
    <row r="31" customFormat="false" ht="15" hidden="false" customHeight="false" outlineLevel="0" collapsed="false">
      <c r="A31" s="10" t="s">
        <v>321</v>
      </c>
      <c r="B31" s="14" t="n">
        <f aca="false">B20-B25</f>
        <v>4704586.8137931</v>
      </c>
      <c r="C31" s="17" t="n">
        <f aca="false">B31/12</f>
        <v>392048.901149425</v>
      </c>
      <c r="D31" s="12" t="s">
        <v>322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80"/>
  </cols>
  <sheetData>
    <row r="1" customFormat="false" ht="17.35" hidden="false" customHeight="false" outlineLevel="0" collapsed="false">
      <c r="A1" s="1" t="s">
        <v>323</v>
      </c>
    </row>
    <row r="2" customFormat="false" ht="15" hidden="false" customHeight="false" outlineLevel="0" collapsed="false">
      <c r="A2" s="2" t="s">
        <v>324</v>
      </c>
    </row>
    <row r="3" customFormat="false" ht="15" hidden="false" customHeight="false" outlineLevel="0" collapsed="false">
      <c r="A3" s="5" t="s">
        <v>31</v>
      </c>
      <c r="B3" s="5" t="s">
        <v>32</v>
      </c>
      <c r="C3" s="5" t="s">
        <v>33</v>
      </c>
      <c r="D3" s="5" t="s">
        <v>295</v>
      </c>
    </row>
    <row r="4" customFormat="false" ht="15" hidden="false" customHeight="false" outlineLevel="0" collapsed="false">
      <c r="A4" s="6" t="s">
        <v>325</v>
      </c>
      <c r="B4" s="7"/>
      <c r="C4" s="7"/>
      <c r="D4" s="7"/>
    </row>
    <row r="5" customFormat="false" ht="15" hidden="false" customHeight="false" outlineLevel="0" collapsed="false">
      <c r="A5" s="3" t="s">
        <v>326</v>
      </c>
      <c r="B5" s="8" t="n">
        <v>70000000</v>
      </c>
      <c r="C5" s="3" t="s">
        <v>43</v>
      </c>
      <c r="D5" s="9" t="s">
        <v>327</v>
      </c>
    </row>
    <row r="6" customFormat="false" ht="15" hidden="false" customHeight="false" outlineLevel="0" collapsed="false">
      <c r="A6" s="3" t="s">
        <v>328</v>
      </c>
      <c r="B6" s="8" t="n">
        <v>3500000</v>
      </c>
      <c r="C6" s="3" t="s">
        <v>93</v>
      </c>
      <c r="D6" s="9" t="s">
        <v>329</v>
      </c>
    </row>
    <row r="7" customFormat="false" ht="15" hidden="false" customHeight="false" outlineLevel="0" collapsed="false">
      <c r="A7" s="3" t="s">
        <v>330</v>
      </c>
      <c r="B7" s="8" t="n">
        <v>20</v>
      </c>
      <c r="C7" s="3" t="s">
        <v>331</v>
      </c>
      <c r="D7" s="9" t="s">
        <v>332</v>
      </c>
    </row>
    <row r="8" customFormat="false" ht="15" hidden="false" customHeight="false" outlineLevel="0" collapsed="false">
      <c r="A8" s="6" t="s">
        <v>333</v>
      </c>
      <c r="B8" s="7"/>
      <c r="C8" s="7"/>
      <c r="D8" s="7"/>
    </row>
    <row r="9" customFormat="false" ht="15" hidden="false" customHeight="false" outlineLevel="0" collapsed="false">
      <c r="A9" s="10" t="s">
        <v>334</v>
      </c>
      <c r="B9" s="11" t="n">
        <f aca="false">IF(Безубыток!$B$22&lt;=0,0,('Проверка объявления'!$B$6+Безубыток!$B$29)/Безубыток!$B$22/Допущения!$B$5/Допущения!$B$6)</f>
        <v>28.4980489070605</v>
      </c>
      <c r="C9" s="3" t="s">
        <v>335</v>
      </c>
      <c r="D9" s="12" t="s">
        <v>336</v>
      </c>
    </row>
    <row r="10" customFormat="false" ht="15" hidden="false" customHeight="false" outlineLevel="0" collapsed="false">
      <c r="A10" s="3" t="s">
        <v>337</v>
      </c>
      <c r="B10" s="16" t="n">
        <f aca="false">IF('Проверка объявления'!$B$6&lt;=0,0,'Проверка объявления'!$B$5/'Проверка объявления'!$B$6)</f>
        <v>20</v>
      </c>
      <c r="C10" s="3" t="s">
        <v>331</v>
      </c>
      <c r="D10" s="12"/>
    </row>
    <row r="11" customFormat="false" ht="15" hidden="false" customHeight="false" outlineLevel="0" collapsed="false">
      <c r="A11" s="6" t="s">
        <v>338</v>
      </c>
      <c r="B11" s="7"/>
      <c r="C11" s="7"/>
      <c r="D11" s="7"/>
    </row>
    <row r="12" customFormat="false" ht="15" hidden="false" customHeight="false" outlineLevel="0" collapsed="false">
      <c r="A12" s="10" t="s">
        <v>175</v>
      </c>
      <c r="B12" s="24" t="n">
        <f aca="false">IF(Безубыток!$B$16=0,0,'Проверка объявления'!$B$6/Безубыток!$B$16/Допущения!$B$5/Допущения!$B$6)</f>
        <v>15.5555555555556</v>
      </c>
      <c r="C12" s="3" t="s">
        <v>335</v>
      </c>
      <c r="D12" s="12"/>
    </row>
    <row r="13" customFormat="false" ht="15" hidden="false" customHeight="false" outlineLevel="0" collapsed="false">
      <c r="A13" s="10" t="s">
        <v>272</v>
      </c>
      <c r="B13" s="14" t="n">
        <f aca="false">'Проверка объявления'!$B$6/Безубыток!$B$16*Безубыток!$B$22-Безубыток!$B$29</f>
        <v>1033945.6</v>
      </c>
      <c r="C13" s="3" t="s">
        <v>93</v>
      </c>
      <c r="D13" s="12" t="s">
        <v>339</v>
      </c>
    </row>
    <row r="14" customFormat="false" ht="15" hidden="false" customHeight="false" outlineLevel="0" collapsed="false">
      <c r="A14" s="10" t="s">
        <v>340</v>
      </c>
      <c r="B14" s="24" t="n">
        <f aca="false">IF('Проверка объявления'!$B$13&lt;=0,"не окупается",'Проверка объявления'!$B$5/'Проверка объявления'!$B$13/12)</f>
        <v>5.64181842191052</v>
      </c>
      <c r="C14" s="3" t="s">
        <v>156</v>
      </c>
      <c r="D14" s="12" t="s">
        <v>341</v>
      </c>
    </row>
    <row r="15" customFormat="false" ht="15" hidden="false" customHeight="false" outlineLevel="0" collapsed="false">
      <c r="A15" s="3" t="s">
        <v>342</v>
      </c>
      <c r="B15" s="16" t="n">
        <f aca="false">IF('Проверка объявления'!$B$13-'Проверка объявления'!$B$6*Допущения!$B$60&lt;=0,"не окупается",'Проверка объявления'!$B$5/('Проверка объявления'!$B$13-'Проверка объявления'!$B$6*Допущения!$B$60)/12)</f>
        <v>6.52537842720332</v>
      </c>
      <c r="C15" s="3" t="s">
        <v>156</v>
      </c>
      <c r="D15" s="12"/>
    </row>
    <row r="17" customFormat="false" ht="15" hidden="false" customHeight="false" outlineLevel="0" collapsed="false">
      <c r="A17" s="10" t="s">
        <v>343</v>
      </c>
    </row>
    <row r="18" customFormat="false" ht="15" hidden="false" customHeight="false" outlineLevel="0" collapsed="false">
      <c r="A18" s="12" t="s">
        <v>344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60"/>
    <col collapsed="false" customWidth="true" hidden="false" outlineLevel="0" max="16" min="5" style="0" width="6"/>
  </cols>
  <sheetData>
    <row r="1" customFormat="false" ht="17.35" hidden="false" customHeight="false" outlineLevel="0" collapsed="false">
      <c r="A1" s="1" t="s">
        <v>345</v>
      </c>
    </row>
    <row r="2" customFormat="false" ht="15" hidden="false" customHeight="false" outlineLevel="0" collapsed="false">
      <c r="A2" s="2" t="s">
        <v>346</v>
      </c>
    </row>
    <row r="3" customFormat="false" ht="15" hidden="false" customHeight="false" outlineLevel="0" collapsed="false">
      <c r="A3" s="5" t="s">
        <v>31</v>
      </c>
      <c r="B3" s="5" t="s">
        <v>32</v>
      </c>
      <c r="C3" s="5" t="s">
        <v>33</v>
      </c>
      <c r="D3" s="5" t="s">
        <v>295</v>
      </c>
      <c r="E3" s="5" t="s">
        <v>160</v>
      </c>
      <c r="F3" s="5" t="s">
        <v>161</v>
      </c>
      <c r="G3" s="5" t="s">
        <v>162</v>
      </c>
      <c r="H3" s="5" t="s">
        <v>163</v>
      </c>
      <c r="I3" s="5" t="s">
        <v>164</v>
      </c>
      <c r="J3" s="5" t="s">
        <v>165</v>
      </c>
      <c r="K3" s="5" t="s">
        <v>166</v>
      </c>
      <c r="L3" s="5" t="s">
        <v>167</v>
      </c>
      <c r="M3" s="5" t="s">
        <v>168</v>
      </c>
      <c r="N3" s="5" t="s">
        <v>169</v>
      </c>
      <c r="O3" s="5" t="s">
        <v>170</v>
      </c>
      <c r="P3" s="5" t="s">
        <v>171</v>
      </c>
    </row>
    <row r="4" customFormat="false" ht="15" hidden="false" customHeight="false" outlineLevel="0" collapsed="false">
      <c r="A4" s="6" t="s">
        <v>347</v>
      </c>
      <c r="B4" s="7"/>
      <c r="C4" s="7"/>
      <c r="D4" s="7"/>
    </row>
    <row r="5" customFormat="false" ht="15" hidden="false" customHeight="false" outlineLevel="0" collapsed="false">
      <c r="A5" s="10" t="s">
        <v>348</v>
      </c>
      <c r="B5" s="14" t="n">
        <f aca="false">Модель!N25</f>
        <v>22569446.4</v>
      </c>
      <c r="C5" s="3" t="s">
        <v>139</v>
      </c>
      <c r="D5" s="12"/>
    </row>
    <row r="7" customFormat="false" ht="15" hidden="false" customHeight="false" outlineLevel="0" collapsed="false">
      <c r="A7" s="6" t="s">
        <v>349</v>
      </c>
      <c r="B7" s="7"/>
      <c r="C7" s="7"/>
      <c r="D7" s="7"/>
    </row>
    <row r="8" customFormat="false" ht="23.85" hidden="false" customHeight="false" outlineLevel="0" collapsed="false">
      <c r="A8" s="3" t="s">
        <v>350</v>
      </c>
      <c r="B8" s="13" t="n">
        <v>0.15</v>
      </c>
      <c r="C8" s="3" t="s">
        <v>83</v>
      </c>
      <c r="D8" s="9" t="s">
        <v>351</v>
      </c>
      <c r="E8" s="10" t="s">
        <v>160</v>
      </c>
      <c r="F8" s="10" t="s">
        <v>161</v>
      </c>
      <c r="G8" s="10" t="s">
        <v>162</v>
      </c>
      <c r="H8" s="10" t="s">
        <v>163</v>
      </c>
      <c r="I8" s="10" t="s">
        <v>164</v>
      </c>
      <c r="J8" s="10" t="s">
        <v>165</v>
      </c>
      <c r="K8" s="10" t="s">
        <v>166</v>
      </c>
      <c r="L8" s="10" t="s">
        <v>167</v>
      </c>
      <c r="M8" s="10" t="s">
        <v>168</v>
      </c>
      <c r="N8" s="10" t="s">
        <v>169</v>
      </c>
      <c r="O8" s="10" t="s">
        <v>170</v>
      </c>
      <c r="P8" s="10" t="s">
        <v>171</v>
      </c>
    </row>
    <row r="9" customFormat="false" ht="15" hidden="false" customHeight="false" outlineLevel="0" collapsed="false">
      <c r="A9" s="3" t="s">
        <v>352</v>
      </c>
      <c r="D9" s="12" t="s">
        <v>353</v>
      </c>
      <c r="E9" s="25" t="n">
        <v>0</v>
      </c>
      <c r="F9" s="25" t="n">
        <v>0</v>
      </c>
      <c r="G9" s="25" t="n">
        <v>1</v>
      </c>
      <c r="H9" s="25" t="n">
        <v>1</v>
      </c>
      <c r="I9" s="25" t="n">
        <v>0</v>
      </c>
      <c r="J9" s="25" t="n">
        <v>0</v>
      </c>
      <c r="K9" s="25" t="n">
        <v>0</v>
      </c>
      <c r="L9" s="25" t="n">
        <v>0</v>
      </c>
      <c r="M9" s="25" t="n">
        <v>0</v>
      </c>
      <c r="N9" s="25" t="n">
        <v>1</v>
      </c>
      <c r="O9" s="25" t="n">
        <v>1</v>
      </c>
      <c r="P9" s="25" t="n">
        <v>0</v>
      </c>
    </row>
    <row r="10" customFormat="false" ht="15" hidden="false" customHeight="false" outlineLevel="0" collapsed="false">
      <c r="A10" s="10" t="s">
        <v>354</v>
      </c>
      <c r="B10" s="18" t="n">
        <f aca="false">Рычаги!$B$8*SUMPRODUCT(E9:P9,Модель!B8:M8)*(1-Допущения!$B$31)</f>
        <v>3575137.5</v>
      </c>
      <c r="C10" s="3" t="s">
        <v>139</v>
      </c>
      <c r="D10" s="12" t="s">
        <v>355</v>
      </c>
    </row>
    <row r="12" customFormat="false" ht="15" hidden="false" customHeight="false" outlineLevel="0" collapsed="false">
      <c r="A12" s="6" t="s">
        <v>356</v>
      </c>
      <c r="B12" s="7"/>
      <c r="C12" s="7"/>
      <c r="D12" s="7"/>
    </row>
    <row r="13" customFormat="false" ht="15" hidden="false" customHeight="false" outlineLevel="0" collapsed="false">
      <c r="A13" s="3" t="s">
        <v>357</v>
      </c>
      <c r="B13" s="13" t="n">
        <v>0.333333333333333</v>
      </c>
      <c r="C13" s="3" t="s">
        <v>83</v>
      </c>
      <c r="D13" s="9" t="s">
        <v>358</v>
      </c>
    </row>
    <row r="14" customFormat="false" ht="15" hidden="false" customHeight="false" outlineLevel="0" collapsed="false">
      <c r="A14" s="3" t="s">
        <v>359</v>
      </c>
      <c r="B14" s="8" t="n">
        <v>300</v>
      </c>
      <c r="C14" s="3" t="s">
        <v>43</v>
      </c>
      <c r="D14" s="9"/>
    </row>
    <row r="15" customFormat="false" ht="15" hidden="false" customHeight="false" outlineLevel="0" collapsed="false">
      <c r="A15" s="3" t="s">
        <v>360</v>
      </c>
      <c r="B15" s="13" t="n">
        <v>0.9</v>
      </c>
      <c r="C15" s="3" t="s">
        <v>83</v>
      </c>
      <c r="D15" s="9" t="s">
        <v>361</v>
      </c>
    </row>
    <row r="16" customFormat="false" ht="15" hidden="false" customHeight="false" outlineLevel="0" collapsed="false">
      <c r="A16" s="10" t="s">
        <v>354</v>
      </c>
      <c r="B16" s="18" t="n">
        <f aca="false">Модель!N6*Рычаги!$B$13*Рычаги!$B$14*Рычаги!$B$15</f>
        <v>3240000</v>
      </c>
      <c r="C16" s="3" t="s">
        <v>139</v>
      </c>
      <c r="D16" s="12"/>
    </row>
    <row r="18" customFormat="false" ht="15" hidden="false" customHeight="false" outlineLevel="0" collapsed="false">
      <c r="A18" s="6" t="s">
        <v>362</v>
      </c>
      <c r="B18" s="7"/>
      <c r="C18" s="7"/>
      <c r="D18" s="7"/>
    </row>
    <row r="19" customFormat="false" ht="15" hidden="false" customHeight="false" outlineLevel="0" collapsed="false">
      <c r="A19" s="3" t="s">
        <v>363</v>
      </c>
      <c r="B19" s="8" t="n">
        <v>100</v>
      </c>
      <c r="C19" s="3" t="s">
        <v>37</v>
      </c>
      <c r="D19" s="9" t="s">
        <v>364</v>
      </c>
    </row>
    <row r="20" customFormat="false" ht="15" hidden="false" customHeight="false" outlineLevel="0" collapsed="false">
      <c r="A20" s="3" t="s">
        <v>365</v>
      </c>
      <c r="B20" s="8" t="n">
        <v>4</v>
      </c>
      <c r="C20" s="3" t="s">
        <v>366</v>
      </c>
      <c r="D20" s="9"/>
    </row>
    <row r="21" customFormat="false" ht="15" hidden="false" customHeight="false" outlineLevel="0" collapsed="false">
      <c r="A21" s="3" t="s">
        <v>367</v>
      </c>
      <c r="B21" s="13" t="n">
        <v>0.3</v>
      </c>
      <c r="C21" s="3" t="s">
        <v>83</v>
      </c>
      <c r="D21" s="9" t="s">
        <v>368</v>
      </c>
      <c r="E21" s="10" t="s">
        <v>160</v>
      </c>
      <c r="F21" s="10" t="s">
        <v>161</v>
      </c>
      <c r="G21" s="10" t="s">
        <v>162</v>
      </c>
      <c r="H21" s="10" t="s">
        <v>163</v>
      </c>
      <c r="I21" s="10" t="s">
        <v>164</v>
      </c>
      <c r="J21" s="10" t="s">
        <v>165</v>
      </c>
      <c r="K21" s="10" t="s">
        <v>166</v>
      </c>
      <c r="L21" s="10" t="s">
        <v>167</v>
      </c>
      <c r="M21" s="10" t="s">
        <v>168</v>
      </c>
      <c r="N21" s="10" t="s">
        <v>169</v>
      </c>
      <c r="O21" s="10" t="s">
        <v>170</v>
      </c>
      <c r="P21" s="10" t="s">
        <v>171</v>
      </c>
    </row>
    <row r="22" customFormat="false" ht="15" hidden="false" customHeight="false" outlineLevel="0" collapsed="false">
      <c r="A22" s="3" t="s">
        <v>369</v>
      </c>
      <c r="E22" s="25" t="n">
        <v>1</v>
      </c>
      <c r="F22" s="25" t="n">
        <v>1</v>
      </c>
      <c r="G22" s="25" t="n">
        <v>0</v>
      </c>
      <c r="H22" s="25" t="n">
        <v>0</v>
      </c>
      <c r="I22" s="25" t="n">
        <v>0</v>
      </c>
      <c r="J22" s="25" t="n">
        <v>0</v>
      </c>
      <c r="K22" s="25" t="n">
        <v>0</v>
      </c>
      <c r="L22" s="25" t="n">
        <v>0</v>
      </c>
      <c r="M22" s="25" t="n">
        <v>0</v>
      </c>
      <c r="N22" s="25" t="n">
        <v>0</v>
      </c>
      <c r="O22" s="25" t="n">
        <v>0</v>
      </c>
      <c r="P22" s="25" t="n">
        <v>1</v>
      </c>
    </row>
    <row r="23" customFormat="false" ht="15" hidden="false" customHeight="false" outlineLevel="0" collapsed="false">
      <c r="A23" s="3" t="s">
        <v>370</v>
      </c>
      <c r="B23" s="17" t="n">
        <f aca="false">Безубыток!$B$16*(1-Рычаги!$B$21)*(1-Допущения!$B$31)-Безубыток!$B$17-Безубыток!$B$18-Безубыток!$B$19</f>
        <v>824.7624</v>
      </c>
      <c r="C23" s="3" t="s">
        <v>43</v>
      </c>
      <c r="D23" s="12"/>
    </row>
    <row r="24" customFormat="false" ht="15" hidden="false" customHeight="false" outlineLevel="0" collapsed="false">
      <c r="A24" s="3" t="s">
        <v>371</v>
      </c>
      <c r="B24" s="17" t="n">
        <f aca="false">Рычаги!$B$19*Рычаги!$B$20*B23</f>
        <v>329904.96</v>
      </c>
      <c r="C24" s="3" t="s">
        <v>93</v>
      </c>
      <c r="D24" s="12" t="s">
        <v>372</v>
      </c>
    </row>
    <row r="25" customFormat="false" ht="15" hidden="false" customHeight="false" outlineLevel="0" collapsed="false">
      <c r="A25" s="10" t="s">
        <v>354</v>
      </c>
      <c r="B25" s="18" t="n">
        <f aca="false">B24*SUM(E22:P22)</f>
        <v>989714.88</v>
      </c>
      <c r="C25" s="3" t="s">
        <v>139</v>
      </c>
      <c r="D25" s="12"/>
    </row>
    <row r="27" customFormat="false" ht="15" hidden="false" customHeight="false" outlineLevel="0" collapsed="false">
      <c r="A27" s="6" t="s">
        <v>373</v>
      </c>
      <c r="B27" s="7"/>
      <c r="C27" s="7"/>
      <c r="D27" s="7"/>
    </row>
    <row r="28" customFormat="false" ht="23.85" hidden="false" customHeight="false" outlineLevel="0" collapsed="false">
      <c r="A28" s="3" t="s">
        <v>374</v>
      </c>
      <c r="B28" s="13" t="n">
        <v>0.5</v>
      </c>
      <c r="C28" s="3" t="s">
        <v>83</v>
      </c>
      <c r="D28" s="9" t="s">
        <v>375</v>
      </c>
    </row>
    <row r="29" customFormat="false" ht="15" hidden="false" customHeight="false" outlineLevel="0" collapsed="false">
      <c r="A29" s="3" t="s">
        <v>376</v>
      </c>
      <c r="B29" s="8" t="n">
        <v>5000000</v>
      </c>
      <c r="C29" s="3" t="s">
        <v>43</v>
      </c>
      <c r="D29" s="9" t="s">
        <v>377</v>
      </c>
    </row>
    <row r="30" customFormat="false" ht="15" hidden="false" customHeight="false" outlineLevel="0" collapsed="false">
      <c r="A30" s="3" t="s">
        <v>378</v>
      </c>
      <c r="B30" s="17" t="n">
        <f aca="false">Допущения!$B$54*Рычаги!$B$28</f>
        <v>2100000</v>
      </c>
      <c r="C30" s="3" t="s">
        <v>139</v>
      </c>
      <c r="D30" s="12"/>
    </row>
    <row r="31" customFormat="false" ht="15" hidden="false" customHeight="false" outlineLevel="0" collapsed="false">
      <c r="A31" s="3" t="s">
        <v>379</v>
      </c>
      <c r="B31" s="16" t="n">
        <f aca="false">IF(B30&lt;=0,"-",Рычаги!$B$29/B30)</f>
        <v>2.38095238095238</v>
      </c>
      <c r="C31" s="3" t="s">
        <v>156</v>
      </c>
      <c r="D31" s="12"/>
    </row>
    <row r="32" customFormat="false" ht="15" hidden="false" customHeight="false" outlineLevel="0" collapsed="false">
      <c r="A32" s="3" t="s">
        <v>380</v>
      </c>
      <c r="B32" s="13" t="n">
        <v>0.6</v>
      </c>
      <c r="C32" s="3" t="s">
        <v>83</v>
      </c>
      <c r="D32" s="9" t="s">
        <v>381</v>
      </c>
    </row>
    <row r="33" customFormat="false" ht="15" hidden="false" customHeight="false" outlineLevel="0" collapsed="false">
      <c r="A33" s="3" t="s">
        <v>382</v>
      </c>
      <c r="B33" s="8" t="n">
        <v>3000000</v>
      </c>
      <c r="C33" s="3" t="s">
        <v>43</v>
      </c>
      <c r="D33" s="9" t="s">
        <v>383</v>
      </c>
    </row>
    <row r="34" customFormat="false" ht="15" hidden="false" customHeight="false" outlineLevel="0" collapsed="false">
      <c r="A34" s="3" t="s">
        <v>384</v>
      </c>
      <c r="B34" s="17" t="n">
        <f aca="false">Модель!N10*Рычаги!$B$32</f>
        <v>1938332.16</v>
      </c>
      <c r="C34" s="3" t="s">
        <v>139</v>
      </c>
      <c r="D34" s="12"/>
    </row>
    <row r="35" customFormat="false" ht="15" hidden="false" customHeight="false" outlineLevel="0" collapsed="false">
      <c r="A35" s="3" t="s">
        <v>385</v>
      </c>
      <c r="B35" s="16" t="n">
        <f aca="false">IF(B34&lt;=0,"-",Рычаги!$B$33/B34)</f>
        <v>1.54772234703055</v>
      </c>
      <c r="C35" s="3" t="s">
        <v>156</v>
      </c>
      <c r="D35" s="12"/>
    </row>
    <row r="36" customFormat="false" ht="15" hidden="false" customHeight="false" outlineLevel="0" collapsed="false">
      <c r="A36" s="10" t="s">
        <v>354</v>
      </c>
      <c r="B36" s="18" t="n">
        <f aca="false">$B$30+$B$34</f>
        <v>4038332.16</v>
      </c>
      <c r="C36" s="3" t="s">
        <v>139</v>
      </c>
      <c r="D36" s="12" t="s">
        <v>386</v>
      </c>
    </row>
    <row r="38" customFormat="false" ht="15" hidden="false" customHeight="false" outlineLevel="0" collapsed="false">
      <c r="A38" s="6" t="s">
        <v>387</v>
      </c>
      <c r="B38" s="7"/>
      <c r="C38" s="7"/>
      <c r="D38" s="7"/>
    </row>
    <row r="39" customFormat="false" ht="23.85" hidden="false" customHeight="false" outlineLevel="0" collapsed="false">
      <c r="A39" s="3" t="s">
        <v>388</v>
      </c>
      <c r="B39" s="8" t="n">
        <v>2</v>
      </c>
      <c r="C39" s="3" t="s">
        <v>335</v>
      </c>
      <c r="D39" s="9" t="s">
        <v>389</v>
      </c>
    </row>
    <row r="40" customFormat="false" ht="15" hidden="false" customHeight="false" outlineLevel="0" collapsed="false">
      <c r="A40" s="10" t="s">
        <v>354</v>
      </c>
      <c r="B40" s="18" t="n">
        <f aca="false">Рычаги!$B$39*Допущения!$B$5*Допущения!$B$6*12*Безубыток!$B$22</f>
        <v>4572944.64</v>
      </c>
      <c r="C40" s="3" t="s">
        <v>139</v>
      </c>
      <c r="D40" s="12"/>
    </row>
    <row r="42" customFormat="false" ht="15" hidden="false" customHeight="false" outlineLevel="0" collapsed="false">
      <c r="A42" s="6" t="s">
        <v>390</v>
      </c>
      <c r="B42" s="7"/>
      <c r="C42" s="7"/>
      <c r="D42" s="7"/>
    </row>
    <row r="43" customFormat="false" ht="15" hidden="false" customHeight="false" outlineLevel="0" collapsed="false">
      <c r="A43" s="10" t="s">
        <v>391</v>
      </c>
      <c r="B43" s="14" t="n">
        <f aca="false">B5+Рычаги!$B$10+Рычаги!$B$16+Рычаги!$B$25+Рычаги!$B$36+Рычаги!$B$40</f>
        <v>38985575.58</v>
      </c>
      <c r="C43" s="3" t="s">
        <v>139</v>
      </c>
      <c r="D43" s="12"/>
    </row>
    <row r="44" customFormat="false" ht="15" hidden="false" customHeight="false" outlineLevel="0" collapsed="false">
      <c r="A44" s="10" t="s">
        <v>392</v>
      </c>
      <c r="B44" s="26" t="n">
        <f aca="false">IF(B5=0,0,B43/B5-1)</f>
        <v>0.727360737567759</v>
      </c>
      <c r="C44" s="3" t="s">
        <v>83</v>
      </c>
      <c r="D44" s="12"/>
    </row>
    <row r="46" customFormat="false" ht="15" hidden="false" customHeight="false" outlineLevel="0" collapsed="false">
      <c r="A46" s="12" t="s">
        <v>393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80"/>
  </cols>
  <sheetData>
    <row r="1" customFormat="false" ht="17.35" hidden="false" customHeight="false" outlineLevel="0" collapsed="false">
      <c r="A1" s="1" t="s">
        <v>394</v>
      </c>
    </row>
    <row r="2" customFormat="false" ht="15" hidden="false" customHeight="false" outlineLevel="0" collapsed="false">
      <c r="A2" s="2" t="s">
        <v>395</v>
      </c>
    </row>
    <row r="3" customFormat="false" ht="15" hidden="false" customHeight="false" outlineLevel="0" collapsed="false">
      <c r="A3" s="5" t="s">
        <v>31</v>
      </c>
      <c r="B3" s="5" t="s">
        <v>32</v>
      </c>
      <c r="C3" s="5" t="s">
        <v>33</v>
      </c>
      <c r="D3" s="5" t="s">
        <v>295</v>
      </c>
    </row>
    <row r="4" customFormat="false" ht="15" hidden="false" customHeight="false" outlineLevel="0" collapsed="false">
      <c r="A4" s="6" t="s">
        <v>396</v>
      </c>
      <c r="B4" s="7"/>
      <c r="C4" s="7"/>
      <c r="D4" s="7"/>
    </row>
    <row r="5" customFormat="false" ht="15" hidden="false" customHeight="false" outlineLevel="0" collapsed="false">
      <c r="A5" s="3" t="s">
        <v>247</v>
      </c>
      <c r="B5" s="8" t="n">
        <v>4000</v>
      </c>
      <c r="C5" s="3" t="s">
        <v>43</v>
      </c>
      <c r="D5" s="9" t="s">
        <v>397</v>
      </c>
    </row>
    <row r="6" customFormat="false" ht="15" hidden="false" customHeight="false" outlineLevel="0" collapsed="false">
      <c r="A6" s="3" t="s">
        <v>398</v>
      </c>
      <c r="B6" s="8" t="n">
        <v>50</v>
      </c>
      <c r="C6" s="3" t="s">
        <v>37</v>
      </c>
      <c r="D6" s="9" t="s">
        <v>399</v>
      </c>
    </row>
    <row r="7" customFormat="false" ht="15" hidden="false" customHeight="false" outlineLevel="0" collapsed="false">
      <c r="A7" s="3" t="s">
        <v>400</v>
      </c>
      <c r="B7" s="8" t="n">
        <v>30</v>
      </c>
      <c r="C7" s="3" t="s">
        <v>40</v>
      </c>
      <c r="D7" s="9"/>
    </row>
    <row r="8" customFormat="false" ht="15" hidden="false" customHeight="false" outlineLevel="0" collapsed="false">
      <c r="A8" s="3" t="s">
        <v>401</v>
      </c>
      <c r="B8" s="13" t="n">
        <v>0.35</v>
      </c>
      <c r="C8" s="3" t="s">
        <v>89</v>
      </c>
      <c r="D8" s="9" t="s">
        <v>402</v>
      </c>
    </row>
    <row r="9" customFormat="false" ht="15" hidden="false" customHeight="false" outlineLevel="0" collapsed="false">
      <c r="A9" s="3" t="s">
        <v>403</v>
      </c>
      <c r="B9" s="8" t="n">
        <v>300</v>
      </c>
      <c r="C9" s="3" t="s">
        <v>43</v>
      </c>
      <c r="D9" s="9"/>
    </row>
    <row r="10" customFormat="false" ht="15" hidden="false" customHeight="false" outlineLevel="0" collapsed="false">
      <c r="A10" s="3" t="s">
        <v>404</v>
      </c>
      <c r="B10" s="8" t="n">
        <v>800000</v>
      </c>
      <c r="C10" s="3" t="s">
        <v>93</v>
      </c>
      <c r="D10" s="9"/>
    </row>
    <row r="11" customFormat="false" ht="15" hidden="false" customHeight="false" outlineLevel="0" collapsed="false">
      <c r="A11" s="3" t="s">
        <v>405</v>
      </c>
      <c r="B11" s="8" t="n">
        <v>600000</v>
      </c>
      <c r="C11" s="3" t="s">
        <v>93</v>
      </c>
      <c r="D11" s="9"/>
    </row>
    <row r="12" customFormat="false" ht="15" hidden="false" customHeight="false" outlineLevel="0" collapsed="false">
      <c r="A12" s="3" t="s">
        <v>406</v>
      </c>
      <c r="B12" s="8" t="n">
        <v>400000</v>
      </c>
      <c r="C12" s="3" t="s">
        <v>93</v>
      </c>
      <c r="D12" s="9" t="s">
        <v>407</v>
      </c>
    </row>
    <row r="13" customFormat="false" ht="15" hidden="false" customHeight="false" outlineLevel="0" collapsed="false">
      <c r="A13" s="3" t="s">
        <v>408</v>
      </c>
      <c r="B13" s="8" t="n">
        <v>300000</v>
      </c>
      <c r="C13" s="3" t="s">
        <v>93</v>
      </c>
      <c r="D13" s="9"/>
    </row>
    <row r="14" customFormat="false" ht="15" hidden="false" customHeight="false" outlineLevel="0" collapsed="false">
      <c r="A14" s="3" t="s">
        <v>409</v>
      </c>
      <c r="B14" s="13" t="n">
        <v>0.1</v>
      </c>
      <c r="C14" s="3" t="s">
        <v>410</v>
      </c>
      <c r="D14" s="9" t="s">
        <v>411</v>
      </c>
    </row>
    <row r="15" customFormat="false" ht="15" hidden="false" customHeight="false" outlineLevel="0" collapsed="false">
      <c r="A15" s="6" t="s">
        <v>412</v>
      </c>
      <c r="B15" s="7"/>
      <c r="C15" s="7"/>
      <c r="D15" s="7"/>
    </row>
    <row r="16" customFormat="false" ht="15" hidden="false" customHeight="false" outlineLevel="0" collapsed="false">
      <c r="A16" s="3" t="s">
        <v>413</v>
      </c>
      <c r="B16" s="17" t="n">
        <f aca="false">'Ручная мойка'!$B$6*'Ручная мойка'!$B$7</f>
        <v>1500</v>
      </c>
      <c r="C16" s="3" t="s">
        <v>37</v>
      </c>
      <c r="D16" s="12"/>
    </row>
    <row r="17" customFormat="false" ht="15" hidden="false" customHeight="false" outlineLevel="0" collapsed="false">
      <c r="A17" s="10" t="s">
        <v>299</v>
      </c>
      <c r="B17" s="18" t="n">
        <f aca="false">B16*'Ручная мойка'!$B$5</f>
        <v>6000000</v>
      </c>
      <c r="C17" s="3" t="s">
        <v>93</v>
      </c>
      <c r="D17" s="12" t="s">
        <v>414</v>
      </c>
    </row>
    <row r="18" customFormat="false" ht="15" hidden="false" customHeight="false" outlineLevel="0" collapsed="false">
      <c r="A18" s="3" t="s">
        <v>415</v>
      </c>
      <c r="B18" s="17" t="n">
        <f aca="false">B17*'Ручная мойка'!$B$8</f>
        <v>2100000</v>
      </c>
      <c r="C18" s="3" t="s">
        <v>93</v>
      </c>
      <c r="D18" s="12"/>
    </row>
    <row r="19" customFormat="false" ht="15" hidden="false" customHeight="false" outlineLevel="0" collapsed="false">
      <c r="A19" s="3" t="s">
        <v>416</v>
      </c>
      <c r="B19" s="17" t="n">
        <f aca="false">B16*'Ручная мойка'!$B$9</f>
        <v>450000</v>
      </c>
      <c r="C19" s="3" t="s">
        <v>93</v>
      </c>
      <c r="D19" s="12"/>
    </row>
    <row r="20" customFormat="false" ht="15" hidden="false" customHeight="false" outlineLevel="0" collapsed="false">
      <c r="A20" s="3" t="s">
        <v>417</v>
      </c>
      <c r="B20" s="17" t="n">
        <f aca="false">'Ручная мойка'!$B$10+'Ручная мойка'!$B$11+'Ручная мойка'!$B$12+'Ручная мойка'!$B$13</f>
        <v>2100000</v>
      </c>
      <c r="C20" s="3" t="s">
        <v>93</v>
      </c>
      <c r="D20" s="12"/>
    </row>
    <row r="21" customFormat="false" ht="15" hidden="false" customHeight="false" outlineLevel="0" collapsed="false">
      <c r="A21" s="10" t="s">
        <v>304</v>
      </c>
      <c r="B21" s="14" t="n">
        <f aca="false">B17-B18-B19-B20</f>
        <v>1350000</v>
      </c>
      <c r="C21" s="3" t="s">
        <v>93</v>
      </c>
      <c r="D21" s="12"/>
    </row>
    <row r="22" customFormat="false" ht="15" hidden="false" customHeight="false" outlineLevel="0" collapsed="false">
      <c r="A22" s="3" t="s">
        <v>418</v>
      </c>
      <c r="B22" s="19" t="n">
        <f aca="false">IF(B17=0,0,B21/B17)</f>
        <v>0.225</v>
      </c>
      <c r="C22" s="3" t="s">
        <v>83</v>
      </c>
      <c r="D22" s="12" t="s">
        <v>419</v>
      </c>
    </row>
    <row r="23" customFormat="false" ht="15" hidden="false" customHeight="false" outlineLevel="0" collapsed="false">
      <c r="A23" s="6" t="s">
        <v>420</v>
      </c>
      <c r="B23" s="7"/>
      <c r="C23" s="7"/>
      <c r="D23" s="7"/>
    </row>
    <row r="24" customFormat="false" ht="15" hidden="false" customHeight="false" outlineLevel="0" collapsed="false">
      <c r="A24" s="3" t="s">
        <v>421</v>
      </c>
      <c r="B24" s="17" t="n">
        <f aca="false">B16*'Ручная мойка'!$B$14</f>
        <v>150</v>
      </c>
      <c r="C24" s="3" t="s">
        <v>37</v>
      </c>
      <c r="D24" s="12"/>
    </row>
    <row r="25" customFormat="false" ht="15" hidden="false" customHeight="false" outlineLevel="0" collapsed="false">
      <c r="A25" s="3" t="s">
        <v>422</v>
      </c>
      <c r="B25" s="17" t="n">
        <f aca="false">B24*('Ручная мойка'!$B$5*(1-'Ручная мойка'!$B$8)-'Ручная мойка'!$B$9)</f>
        <v>345000</v>
      </c>
      <c r="C25" s="3" t="s">
        <v>93</v>
      </c>
      <c r="D25" s="12" t="s">
        <v>423</v>
      </c>
    </row>
    <row r="26" customFormat="false" ht="15" hidden="false" customHeight="false" outlineLevel="0" collapsed="false">
      <c r="A26" s="3" t="s">
        <v>424</v>
      </c>
      <c r="B26" s="17" t="n">
        <f aca="false">B24*'Ручная мойка'!$B$9</f>
        <v>45000</v>
      </c>
      <c r="C26" s="3" t="s">
        <v>93</v>
      </c>
      <c r="D26" s="12" t="s">
        <v>425</v>
      </c>
    </row>
    <row r="27" customFormat="false" ht="15" hidden="false" customHeight="false" outlineLevel="0" collapsed="false">
      <c r="A27" s="10" t="s">
        <v>426</v>
      </c>
      <c r="B27" s="14" t="n">
        <f aca="false">B25+B26</f>
        <v>390000</v>
      </c>
      <c r="C27" s="3" t="s">
        <v>93</v>
      </c>
      <c r="D27" s="12" t="s">
        <v>427</v>
      </c>
    </row>
    <row r="28" customFormat="false" ht="15" hidden="false" customHeight="false" outlineLevel="0" collapsed="false">
      <c r="A28" s="10" t="s">
        <v>428</v>
      </c>
      <c r="B28" s="26" t="n">
        <f aca="false">IF(B21=0,0,B27/B21)</f>
        <v>0.288888888888889</v>
      </c>
      <c r="C28" s="3" t="s">
        <v>83</v>
      </c>
      <c r="D28" s="12"/>
    </row>
    <row r="30" customFormat="false" ht="15" hidden="false" customHeight="false" outlineLevel="0" collapsed="false">
      <c r="A30" s="12" t="s">
        <v>429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13" min="2" style="0" width="10"/>
  </cols>
  <sheetData>
    <row r="1" customFormat="false" ht="17.35" hidden="false" customHeight="false" outlineLevel="0" collapsed="false">
      <c r="A1" s="1" t="s">
        <v>430</v>
      </c>
    </row>
    <row r="2" customFormat="false" ht="15" hidden="false" customHeight="false" outlineLevel="0" collapsed="false">
      <c r="A2" s="2" t="s">
        <v>431</v>
      </c>
    </row>
    <row r="4" customFormat="false" ht="15" hidden="false" customHeight="false" outlineLevel="0" collapsed="false">
      <c r="A4" s="5" t="s">
        <v>31</v>
      </c>
      <c r="B4" s="5" t="s">
        <v>160</v>
      </c>
      <c r="C4" s="5" t="s">
        <v>161</v>
      </c>
      <c r="D4" s="5" t="s">
        <v>162</v>
      </c>
      <c r="E4" s="5" t="s">
        <v>163</v>
      </c>
      <c r="F4" s="5" t="s">
        <v>164</v>
      </c>
      <c r="G4" s="5" t="s">
        <v>165</v>
      </c>
      <c r="H4" s="5" t="s">
        <v>166</v>
      </c>
      <c r="I4" s="5" t="s">
        <v>167</v>
      </c>
      <c r="J4" s="5" t="s">
        <v>168</v>
      </c>
      <c r="K4" s="5" t="s">
        <v>169</v>
      </c>
      <c r="L4" s="5" t="s">
        <v>170</v>
      </c>
      <c r="M4" s="5" t="s">
        <v>171</v>
      </c>
    </row>
    <row r="5" customFormat="false" ht="15" hidden="false" customHeight="false" outlineLevel="0" collapsed="false">
      <c r="A5" s="3" t="s">
        <v>432</v>
      </c>
      <c r="B5" s="16" t="n">
        <f aca="false">Модель!B5</f>
        <v>12</v>
      </c>
      <c r="C5" s="16" t="n">
        <f aca="false">Модель!C5</f>
        <v>12</v>
      </c>
      <c r="D5" s="16" t="n">
        <f aca="false">Модель!D5</f>
        <v>26</v>
      </c>
      <c r="E5" s="16" t="n">
        <f aca="false">Модель!E5</f>
        <v>30</v>
      </c>
      <c r="F5" s="16" t="n">
        <f aca="false">Модель!F5</f>
        <v>20</v>
      </c>
      <c r="G5" s="16" t="n">
        <f aca="false">Модель!G5</f>
        <v>17</v>
      </c>
      <c r="H5" s="16" t="n">
        <f aca="false">Модель!H5</f>
        <v>16</v>
      </c>
      <c r="I5" s="16" t="n">
        <f aca="false">Модель!I5</f>
        <v>17</v>
      </c>
      <c r="J5" s="16" t="n">
        <f aca="false">Модель!J5</f>
        <v>20</v>
      </c>
      <c r="K5" s="16" t="n">
        <f aca="false">Модель!K5</f>
        <v>27</v>
      </c>
      <c r="L5" s="16" t="n">
        <f aca="false">Модель!L5</f>
        <v>24</v>
      </c>
      <c r="M5" s="16" t="n">
        <f aca="false">Модель!M5</f>
        <v>19</v>
      </c>
    </row>
    <row r="6" customFormat="false" ht="15" hidden="false" customHeight="false" outlineLevel="0" collapsed="false">
      <c r="A6" s="3" t="s">
        <v>433</v>
      </c>
      <c r="B6" s="17" t="n">
        <f aca="false">Модель!B8/1000</f>
        <v>2700</v>
      </c>
      <c r="C6" s="17" t="n">
        <f aca="false">Модель!C8/1000</f>
        <v>2700</v>
      </c>
      <c r="D6" s="17" t="n">
        <f aca="false">Модель!D8/1000</f>
        <v>5850</v>
      </c>
      <c r="E6" s="17" t="n">
        <f aca="false">Модель!E8/1000</f>
        <v>6750</v>
      </c>
      <c r="F6" s="17" t="n">
        <f aca="false">Модель!F8/1000</f>
        <v>4500</v>
      </c>
      <c r="G6" s="17" t="n">
        <f aca="false">Модель!G8/1000</f>
        <v>3825</v>
      </c>
      <c r="H6" s="17" t="n">
        <f aca="false">Модель!H8/1000</f>
        <v>3600</v>
      </c>
      <c r="I6" s="17" t="n">
        <f aca="false">Модель!I8/1000</f>
        <v>3825</v>
      </c>
      <c r="J6" s="17" t="n">
        <f aca="false">Модель!J8/1000</f>
        <v>4500</v>
      </c>
      <c r="K6" s="17" t="n">
        <f aca="false">Модель!K8/1000</f>
        <v>6075</v>
      </c>
      <c r="L6" s="17" t="n">
        <f aca="false">Модель!L8/1000</f>
        <v>5400</v>
      </c>
      <c r="M6" s="17" t="n">
        <f aca="false">Модель!M8/1000</f>
        <v>4275</v>
      </c>
    </row>
    <row r="7" customFormat="false" ht="15" hidden="false" customHeight="false" outlineLevel="0" collapsed="false">
      <c r="A7" s="3" t="s">
        <v>434</v>
      </c>
      <c r="B7" s="17" t="n">
        <f aca="false">Модель!B14/1000</f>
        <v>413.52768</v>
      </c>
      <c r="C7" s="17" t="n">
        <f aca="false">Модель!C14/1000</f>
        <v>413.52768</v>
      </c>
      <c r="D7" s="17" t="n">
        <f aca="false">Модель!D14/1000</f>
        <v>895.97664</v>
      </c>
      <c r="E7" s="17" t="n">
        <f aca="false">Модель!E14/1000</f>
        <v>1033.8192</v>
      </c>
      <c r="F7" s="17" t="n">
        <f aca="false">Модель!F14/1000</f>
        <v>689.2128</v>
      </c>
      <c r="G7" s="17" t="n">
        <f aca="false">Модель!G14/1000</f>
        <v>585.83088</v>
      </c>
      <c r="H7" s="17" t="n">
        <f aca="false">Модель!H14/1000</f>
        <v>551.37024</v>
      </c>
      <c r="I7" s="17" t="n">
        <f aca="false">Модель!I14/1000</f>
        <v>585.83088</v>
      </c>
      <c r="J7" s="17" t="n">
        <f aca="false">Модель!J14/1000</f>
        <v>689.2128</v>
      </c>
      <c r="K7" s="17" t="n">
        <f aca="false">Модель!K14/1000</f>
        <v>930.43728</v>
      </c>
      <c r="L7" s="17" t="n">
        <f aca="false">Модель!L14/1000</f>
        <v>827.05536</v>
      </c>
      <c r="M7" s="17" t="n">
        <f aca="false">Модель!M14/1000</f>
        <v>654.75216</v>
      </c>
    </row>
    <row r="8" customFormat="false" ht="15" hidden="false" customHeight="false" outlineLevel="0" collapsed="false">
      <c r="A8" s="3" t="s">
        <v>435</v>
      </c>
      <c r="B8" s="17" t="n">
        <f aca="false">(Модель!B24-Модель!B23)/1000</f>
        <v>1580</v>
      </c>
      <c r="C8" s="17" t="n">
        <f aca="false">(Модель!C24-Модель!C23)/1000</f>
        <v>1580</v>
      </c>
      <c r="D8" s="17" t="n">
        <f aca="false">(Модель!D24-Модель!D23)/1000</f>
        <v>1580</v>
      </c>
      <c r="E8" s="17" t="n">
        <f aca="false">(Модель!E24-Модель!E23)/1000</f>
        <v>1580</v>
      </c>
      <c r="F8" s="17" t="n">
        <f aca="false">(Модель!F24-Модель!F23)/1000</f>
        <v>1580</v>
      </c>
      <c r="G8" s="17" t="n">
        <f aca="false">(Модель!G24-Модель!G23)/1000</f>
        <v>1580</v>
      </c>
      <c r="H8" s="17" t="n">
        <f aca="false">(Модель!H24-Модель!H23)/1000</f>
        <v>1580</v>
      </c>
      <c r="I8" s="17" t="n">
        <f aca="false">(Модель!I24-Модель!I23)/1000</f>
        <v>1580</v>
      </c>
      <c r="J8" s="17" t="n">
        <f aca="false">(Модель!J24-Модель!J23)/1000</f>
        <v>1580</v>
      </c>
      <c r="K8" s="17" t="n">
        <f aca="false">(Модель!K24-Модель!K23)/1000</f>
        <v>1580</v>
      </c>
      <c r="L8" s="17" t="n">
        <f aca="false">(Модель!L24-Модель!L23)/1000</f>
        <v>1580</v>
      </c>
      <c r="M8" s="17" t="n">
        <f aca="false">(Модель!M24-Модель!M23)/1000</f>
        <v>1580</v>
      </c>
    </row>
    <row r="9" customFormat="false" ht="15" hidden="false" customHeight="false" outlineLevel="0" collapsed="false">
      <c r="A9" s="3" t="s">
        <v>436</v>
      </c>
      <c r="B9" s="17" t="n">
        <f aca="false">Модель!B23/1000</f>
        <v>900</v>
      </c>
      <c r="C9" s="17" t="n">
        <f aca="false">Модель!C23/1000</f>
        <v>850</v>
      </c>
      <c r="D9" s="17" t="n">
        <f aca="false">Модель!D23/1000</f>
        <v>500</v>
      </c>
      <c r="E9" s="17" t="n">
        <f aca="false">Модель!E23/1000</f>
        <v>180</v>
      </c>
      <c r="F9" s="17" t="n">
        <f aca="false">Модель!F23/1000</f>
        <v>0</v>
      </c>
      <c r="G9" s="17" t="n">
        <f aca="false">Модель!G23/1000</f>
        <v>0</v>
      </c>
      <c r="H9" s="17" t="n">
        <f aca="false">Модель!H23/1000</f>
        <v>0</v>
      </c>
      <c r="I9" s="17" t="n">
        <f aca="false">Модель!I23/1000</f>
        <v>0</v>
      </c>
      <c r="J9" s="17" t="n">
        <f aca="false">Модель!J23/1000</f>
        <v>0</v>
      </c>
      <c r="K9" s="17" t="n">
        <f aca="false">Модель!K23/1000</f>
        <v>300</v>
      </c>
      <c r="L9" s="17" t="n">
        <f aca="false">Модель!L23/1000</f>
        <v>650</v>
      </c>
      <c r="M9" s="17" t="n">
        <f aca="false">Модель!M23/1000</f>
        <v>820</v>
      </c>
    </row>
    <row r="10" customFormat="false" ht="15" hidden="false" customHeight="false" outlineLevel="0" collapsed="false">
      <c r="A10" s="3" t="s">
        <v>437</v>
      </c>
      <c r="B10" s="17" t="n">
        <f aca="false">Модель!B38/1000</f>
        <v>-73.6901995402299</v>
      </c>
      <c r="C10" s="17" t="n">
        <f aca="false">Модель!C38/1000</f>
        <v>-58.1729581609196</v>
      </c>
      <c r="D10" s="17" t="n">
        <f aca="false">Модель!D38/1000</f>
        <v>881.784261149426</v>
      </c>
      <c r="E10" s="17" t="n">
        <f aca="false">Модель!E38/1000</f>
        <v>1218.61932873563</v>
      </c>
      <c r="F10" s="17" t="n">
        <f aca="false">Модель!F38/1000</f>
        <v>680.669590804598</v>
      </c>
      <c r="G10" s="17" t="n">
        <f aca="false">Модель!G38/1000</f>
        <v>502.526048735632</v>
      </c>
      <c r="H10" s="17" t="n">
        <f aca="false">Модель!H38/1000</f>
        <v>443.144868045977</v>
      </c>
      <c r="I10" s="17" t="n">
        <f aca="false">Модель!I38/1000</f>
        <v>502.526048735632</v>
      </c>
      <c r="J10" s="17" t="n">
        <f aca="false">Модель!J38/1000</f>
        <v>680.669590804598</v>
      </c>
      <c r="K10" s="17" t="n">
        <f aca="false">Модель!K38/1000</f>
        <v>1003.23440735632</v>
      </c>
      <c r="L10" s="17" t="n">
        <f aca="false">Модель!L38/1000</f>
        <v>716.470175632184</v>
      </c>
      <c r="M10" s="17" t="n">
        <f aca="false">Модель!M38/1000</f>
        <v>366.805651494253</v>
      </c>
    </row>
    <row r="11" customFormat="false" ht="15" hidden="false" customHeight="false" outlineLevel="0" collapsed="false">
      <c r="A11" s="10" t="s">
        <v>438</v>
      </c>
      <c r="B11" s="14" t="n">
        <f aca="false">Модель!B41/1000</f>
        <v>-119.83748045977</v>
      </c>
      <c r="C11" s="14" t="n">
        <f aca="false">Модель!C41/1000</f>
        <v>-85.3547218390806</v>
      </c>
      <c r="D11" s="14" t="n">
        <f aca="false">Модель!D41/1000</f>
        <v>1992.23909885058</v>
      </c>
      <c r="E11" s="14" t="n">
        <f aca="false">Модель!E41/1000</f>
        <v>2737.56147126437</v>
      </c>
      <c r="F11" s="14" t="n">
        <f aca="false">Модель!F41/1000</f>
        <v>1550.1176091954</v>
      </c>
      <c r="G11" s="14" t="n">
        <f aca="false">Модель!G41/1000</f>
        <v>1156.64307126437</v>
      </c>
      <c r="H11" s="14" t="n">
        <f aca="false">Модель!H41/1000</f>
        <v>1025.48489195402</v>
      </c>
      <c r="I11" s="14" t="n">
        <f aca="false">Модель!I41/1000</f>
        <v>1156.64307126437</v>
      </c>
      <c r="J11" s="14" t="n">
        <f aca="false">Модель!J41/1000</f>
        <v>1550.1176091954</v>
      </c>
      <c r="K11" s="14" t="n">
        <f aca="false">Модель!K41/1000</f>
        <v>2261.32831264368</v>
      </c>
      <c r="L11" s="14" t="n">
        <f aca="false">Модель!L41/1000</f>
        <v>1626.47446436782</v>
      </c>
      <c r="M11" s="14" t="n">
        <f aca="false">Модель!M41/1000</f>
        <v>853.442188505747</v>
      </c>
    </row>
    <row r="12" customFormat="false" ht="15" hidden="false" customHeight="false" outlineLevel="0" collapsed="false">
      <c r="A12" s="10" t="s">
        <v>439</v>
      </c>
      <c r="B12" s="14" t="n">
        <f aca="false">Модель!B42/1000</f>
        <v>-60119.8374804598</v>
      </c>
      <c r="C12" s="14" t="n">
        <f aca="false">Модель!C42/1000</f>
        <v>-60205.1922022989</v>
      </c>
      <c r="D12" s="14" t="n">
        <f aca="false">Модель!D42/1000</f>
        <v>-58212.9531034483</v>
      </c>
      <c r="E12" s="14" t="n">
        <f aca="false">Модель!E42/1000</f>
        <v>-55475.3916321839</v>
      </c>
      <c r="F12" s="14" t="n">
        <f aca="false">Модель!F42/1000</f>
        <v>-53925.2740229885</v>
      </c>
      <c r="G12" s="14" t="n">
        <f aca="false">Модель!G42/1000</f>
        <v>-52768.6309517241</v>
      </c>
      <c r="H12" s="14" t="n">
        <f aca="false">Модель!H42/1000</f>
        <v>-51743.1460597701</v>
      </c>
      <c r="I12" s="14" t="n">
        <f aca="false">Модель!I42/1000</f>
        <v>-50586.5029885057</v>
      </c>
      <c r="J12" s="14" t="n">
        <f aca="false">Модель!J42/1000</f>
        <v>-49036.3853793103</v>
      </c>
      <c r="K12" s="14" t="n">
        <f aca="false">Модель!K42/1000</f>
        <v>-46775.0570666667</v>
      </c>
      <c r="L12" s="14" t="n">
        <f aca="false">Модель!L42/1000</f>
        <v>-45148.5826022988</v>
      </c>
      <c r="M12" s="14" t="n">
        <f aca="false">Модель!M42/1000</f>
        <v>-44295.1404137931</v>
      </c>
    </row>
    <row r="15" customFormat="false" ht="15" hidden="false" customHeight="false" outlineLevel="0" collapsed="false">
      <c r="A15" s="10" t="s">
        <v>440</v>
      </c>
    </row>
    <row r="16" customFormat="false" ht="15" hidden="false" customHeight="false" outlineLevel="0" collapsed="false">
      <c r="A16" s="12" t="s">
        <v>441</v>
      </c>
    </row>
    <row r="17" customFormat="false" ht="15" hidden="false" customHeight="false" outlineLevel="0" collapsed="false">
      <c r="A17" s="12" t="s">
        <v>442</v>
      </c>
    </row>
    <row r="18" customFormat="false" ht="15" hidden="false" customHeight="false" outlineLevel="0" collapsed="false">
      <c r="A18" s="12" t="s">
        <v>443</v>
      </c>
    </row>
    <row r="19" customFormat="false" ht="15" hidden="false" customHeight="false" outlineLevel="0" collapsed="false">
      <c r="A19" s="12" t="s">
        <v>444</v>
      </c>
    </row>
  </sheetData>
  <conditionalFormatting sqref="B11:M12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2026-10-17T13:38:23Z</dcterms:created>
  <dc:creator>openpyxl</dc:creator>
  <dc:description/>
  <dc:language>en-US</dc:language>
  <cp:lastModifiedBy/>
  <dcterms:modified xsi:type="dcterms:W3CDTF">2026-10-17T13:38:23Z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